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71ED414C-77DF-2C4A-8F55-649CE401C5FE}"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T40" i="1"/>
  <c r="BT41"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T56" i="1"/>
  <c r="BF57" i="1"/>
  <c r="BT57" i="1"/>
  <c r="BF58" i="1"/>
  <c r="BT58" i="1"/>
  <c r="BF59" i="1"/>
  <c r="BT59" i="1"/>
  <c r="BF60" i="1"/>
  <c r="BT60" i="1"/>
  <c r="BF61" i="1"/>
  <c r="BT61" i="1"/>
  <c r="BF62" i="1"/>
  <c r="BT62" i="1"/>
  <c r="BT63" i="1"/>
  <c r="BF64" i="1"/>
  <c r="BT64" i="1"/>
  <c r="BF65" i="1"/>
  <c r="BT65" i="1"/>
  <c r="BF66" i="1"/>
  <c r="BT66" i="1"/>
  <c r="BF67" i="1"/>
  <c r="BT67" i="1"/>
  <c r="BF68" i="1"/>
  <c r="BT68" i="1"/>
  <c r="BF69" i="1"/>
  <c r="BT69" i="1"/>
  <c r="BT70" i="1"/>
  <c r="BT71" i="1"/>
  <c r="BF72" i="1"/>
  <c r="BT72" i="1"/>
  <c r="BF73" i="1"/>
  <c r="BT73" i="1"/>
  <c r="BF74" i="1"/>
  <c r="BT74" i="1"/>
  <c r="BF75" i="1"/>
  <c r="BT75" i="1"/>
  <c r="BF76" i="1"/>
  <c r="BT76" i="1"/>
  <c r="BF77" i="1"/>
  <c r="BT77"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T105" i="1"/>
  <c r="BT106" i="1"/>
  <c r="BF107" i="1"/>
  <c r="BT107" i="1"/>
  <c r="BT108" i="1"/>
  <c r="BF109" i="1"/>
  <c r="BT109" i="1"/>
  <c r="BF110" i="1"/>
  <c r="BT110" i="1"/>
  <c r="BF111" i="1"/>
  <c r="BT111" i="1"/>
  <c r="BF112" i="1"/>
  <c r="BT112" i="1"/>
  <c r="BF113" i="1"/>
  <c r="BT113" i="1"/>
  <c r="BF114" i="1"/>
  <c r="BT114" i="1"/>
  <c r="BF115" i="1"/>
  <c r="BT115" i="1"/>
  <c r="BT116"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T146" i="1"/>
  <c r="BF147" i="1"/>
  <c r="BT147" i="1"/>
  <c r="BF148" i="1"/>
  <c r="BT148" i="1"/>
  <c r="BF149" i="1"/>
  <c r="BT149" i="1"/>
  <c r="BF150" i="1"/>
  <c r="BT150" i="1"/>
  <c r="BT151" i="1"/>
  <c r="BF152" i="1"/>
  <c r="BT152" i="1"/>
  <c r="BF153" i="1"/>
  <c r="BT153" i="1"/>
  <c r="BF154" i="1"/>
  <c r="BT154" i="1"/>
  <c r="BF155" i="1"/>
  <c r="BT155" i="1"/>
  <c r="BF156" i="1"/>
  <c r="BT156" i="1"/>
  <c r="BF157" i="1"/>
  <c r="BT157" i="1"/>
  <c r="BF158" i="1"/>
  <c r="BT158" i="1"/>
  <c r="BF159" i="1"/>
  <c r="BT159"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T188" i="1"/>
  <c r="BT189" i="1"/>
  <c r="BF190" i="1"/>
  <c r="BT190" i="1"/>
  <c r="BF191" i="1"/>
  <c r="BT191" i="1"/>
  <c r="BF192" i="1"/>
  <c r="BT192" i="1"/>
  <c r="BF193" i="1"/>
  <c r="BT193" i="1"/>
  <c r="BF194" i="1"/>
  <c r="BT194" i="1"/>
  <c r="BF195" i="1"/>
  <c r="BT195" i="1"/>
  <c r="BF196" i="1"/>
  <c r="BT196" i="1"/>
  <c r="BF197" i="1"/>
  <c r="BT197" i="1"/>
  <c r="BF198" i="1"/>
  <c r="BT198" i="1"/>
  <c r="BT199" i="1"/>
  <c r="BT200" i="1"/>
  <c r="BT201" i="1"/>
  <c r="BT202" i="1"/>
  <c r="BT203" i="1"/>
  <c r="BF204" i="1"/>
  <c r="BT204"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T234" i="1"/>
  <c r="BT235" i="1"/>
  <c r="BT236" i="1"/>
  <c r="BT237" i="1"/>
  <c r="BF238" i="1"/>
  <c r="BT238" i="1"/>
  <c r="BF239" i="1"/>
  <c r="BT239" i="1"/>
  <c r="BT240" i="1"/>
  <c r="BT241" i="1"/>
  <c r="BT242" i="1"/>
  <c r="BF243" i="1"/>
  <c r="BT243" i="1"/>
  <c r="BF244" i="1"/>
  <c r="BT244" i="1"/>
  <c r="BF245" i="1"/>
  <c r="BT245" i="1"/>
  <c r="BF246" i="1"/>
  <c r="BT246" i="1"/>
  <c r="BF247" i="1"/>
  <c r="BT247" i="1"/>
  <c r="BF248" i="1"/>
  <c r="BT248" i="1"/>
  <c r="BF249" i="1"/>
  <c r="BT249" i="1"/>
  <c r="BF250" i="1"/>
  <c r="BT250" i="1"/>
  <c r="BF251" i="1"/>
  <c r="BT251" i="1"/>
  <c r="BF252" i="1"/>
  <c r="BT252" i="1"/>
  <c r="BT253" i="1"/>
  <c r="BF254" i="1"/>
  <c r="BT254" i="1"/>
  <c r="BF255" i="1"/>
  <c r="BT255" i="1"/>
  <c r="BT256" i="1"/>
  <c r="BF257" i="1"/>
  <c r="BT257" i="1"/>
  <c r="BF258" i="1"/>
  <c r="BT258" i="1"/>
  <c r="BF259" i="1"/>
  <c r="BT259" i="1"/>
  <c r="BF260" i="1"/>
  <c r="BT260" i="1"/>
  <c r="BF261" i="1"/>
  <c r="BT261" i="1"/>
  <c r="BF262" i="1"/>
  <c r="BT262" i="1"/>
  <c r="BF263" i="1"/>
  <c r="BT263" i="1"/>
  <c r="BF264" i="1"/>
  <c r="BT264" i="1"/>
  <c r="BF265" i="1"/>
  <c r="BT265" i="1"/>
  <c r="BF266" i="1"/>
  <c r="BT266"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T296" i="1"/>
  <c r="BF297" i="1"/>
  <c r="BT297" i="1"/>
  <c r="BF298" i="1"/>
  <c r="BT298" i="1"/>
  <c r="BF299" i="1"/>
  <c r="BT299"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T313" i="1"/>
  <c r="BF314" i="1"/>
  <c r="BT314" i="1"/>
  <c r="BF315" i="1"/>
  <c r="BT315" i="1"/>
  <c r="BT316" i="1"/>
  <c r="BT317"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T332" i="1"/>
  <c r="BT333"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T360" i="1"/>
  <c r="BF361" i="1"/>
  <c r="BT361" i="1"/>
  <c r="BF362" i="1"/>
  <c r="BT362" i="1"/>
  <c r="BF363" i="1"/>
  <c r="BT363" i="1"/>
  <c r="BF364" i="1"/>
  <c r="BT364" i="1"/>
  <c r="BT365" i="1"/>
  <c r="BF366" i="1"/>
  <c r="BT366" i="1"/>
  <c r="BF367" i="1"/>
  <c r="BT367" i="1"/>
  <c r="BF368" i="1"/>
  <c r="BT368" i="1"/>
  <c r="BT369" i="1"/>
  <c r="BF370" i="1"/>
  <c r="BT370" i="1"/>
  <c r="BF371" i="1"/>
  <c r="BT371" i="1"/>
  <c r="BF372" i="1"/>
  <c r="BT372" i="1"/>
  <c r="BF373" i="1"/>
  <c r="BT373" i="1"/>
  <c r="BF374" i="1"/>
  <c r="BT374" i="1"/>
  <c r="BF375" i="1"/>
  <c r="BT375" i="1"/>
  <c r="BF376" i="1"/>
  <c r="BT376" i="1"/>
  <c r="BF377" i="1"/>
  <c r="BT377" i="1"/>
  <c r="BT378" i="1"/>
  <c r="BT379" i="1"/>
  <c r="BF380" i="1"/>
  <c r="BT380" i="1"/>
  <c r="BF381" i="1"/>
  <c r="BT381" i="1"/>
  <c r="BF382" i="1"/>
  <c r="BT382" i="1"/>
  <c r="BF383" i="1"/>
  <c r="BT383" i="1"/>
  <c r="BF384" i="1"/>
  <c r="BT384" i="1"/>
  <c r="BF385" i="1"/>
  <c r="BT385" i="1"/>
  <c r="BF386" i="1"/>
  <c r="BT386" i="1"/>
  <c r="BF387" i="1"/>
  <c r="BT387" i="1"/>
  <c r="BF388" i="1"/>
  <c r="BT388" i="1"/>
  <c r="BF389" i="1"/>
  <c r="BT389" i="1"/>
  <c r="BF390" i="1"/>
  <c r="BT390" i="1"/>
  <c r="BF391" i="1"/>
  <c r="BT391" i="1"/>
  <c r="BT392" i="1"/>
  <c r="BT393" i="1"/>
  <c r="BF394" i="1"/>
  <c r="BT394" i="1"/>
  <c r="BF395" i="1"/>
  <c r="BT395" i="1"/>
  <c r="BF396" i="1"/>
  <c r="BT396" i="1"/>
  <c r="BT397" i="1"/>
  <c r="BF398" i="1"/>
  <c r="BT398" i="1"/>
  <c r="BF399" i="1"/>
  <c r="BT399" i="1"/>
  <c r="BF400" i="1"/>
  <c r="BT400" i="1"/>
  <c r="BF401" i="1"/>
  <c r="BT401" i="1"/>
  <c r="BF402" i="1"/>
  <c r="BT402" i="1"/>
  <c r="BF403" i="1"/>
  <c r="BT403" i="1"/>
  <c r="BF404" i="1"/>
  <c r="BT404" i="1"/>
  <c r="BF405" i="1"/>
  <c r="BT405" i="1"/>
  <c r="BF406" i="1"/>
  <c r="BT406" i="1"/>
  <c r="BF407" i="1"/>
  <c r="BT407" i="1"/>
  <c r="BT408" i="1"/>
  <c r="BF409" i="1"/>
  <c r="BT409" i="1"/>
  <c r="BT410" i="1"/>
  <c r="BT411" i="1"/>
  <c r="BT412" i="1"/>
  <c r="BF413" i="1"/>
  <c r="BT413" i="1"/>
  <c r="BF414" i="1"/>
  <c r="BT414" i="1"/>
  <c r="BF415" i="1"/>
  <c r="BT415" i="1"/>
  <c r="BF416"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F428"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T456" i="1"/>
  <c r="BF457" i="1"/>
  <c r="BT457" i="1"/>
  <c r="BF458" i="1"/>
  <c r="BT458" i="1"/>
  <c r="BF459" i="1"/>
  <c r="BT459"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T488" i="1"/>
  <c r="BT489" i="1"/>
  <c r="BT490"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F541"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T558" i="1"/>
  <c r="BT559" i="1"/>
  <c r="BF560" i="1"/>
  <c r="BT560" i="1"/>
  <c r="BT561" i="1"/>
  <c r="BT562" i="1"/>
  <c r="BF563" i="1"/>
  <c r="BT563" i="1"/>
  <c r="BF564" i="1"/>
  <c r="BT564" i="1"/>
  <c r="BT565" i="1"/>
  <c r="BT566" i="1"/>
  <c r="BT567" i="1"/>
  <c r="BT568" i="1"/>
  <c r="BT569" i="1"/>
  <c r="BT570" i="1"/>
  <c r="BT571" i="1"/>
  <c r="BT572" i="1"/>
  <c r="BT573" i="1"/>
  <c r="BT574" i="1"/>
  <c r="BT575" i="1"/>
  <c r="BT576" i="1"/>
  <c r="BT577" i="1"/>
  <c r="BT578" i="1"/>
  <c r="BF579" i="1"/>
  <c r="BT579" i="1"/>
  <c r="BF580" i="1"/>
  <c r="BT580" i="1"/>
  <c r="BT581"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T633" i="1"/>
  <c r="BF634" i="1"/>
  <c r="BT634" i="1"/>
  <c r="BF635" i="1"/>
  <c r="BT635" i="1"/>
  <c r="BF636" i="1"/>
  <c r="BT636"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T652" i="1"/>
  <c r="BT653" i="1"/>
  <c r="BT654" i="1"/>
  <c r="BF655" i="1"/>
  <c r="BT655" i="1"/>
  <c r="BF656" i="1"/>
  <c r="BT656" i="1"/>
  <c r="BF657" i="1"/>
  <c r="BT657" i="1"/>
  <c r="BF658" i="1"/>
  <c r="BT658" i="1"/>
  <c r="BF659" i="1"/>
  <c r="BT659" i="1"/>
  <c r="BF660" i="1"/>
  <c r="BT660" i="1"/>
  <c r="BF661" i="1"/>
  <c r="BT661" i="1"/>
  <c r="BF662" i="1"/>
  <c r="BT662" i="1"/>
  <c r="BF663" i="1"/>
  <c r="BT663" i="1"/>
  <c r="BF664" i="1"/>
  <c r="BT664" i="1"/>
  <c r="BT665" i="1"/>
  <c r="BT666" i="1"/>
  <c r="BF667" i="1"/>
  <c r="BT667" i="1"/>
  <c r="BF668" i="1"/>
  <c r="BT668" i="1"/>
  <c r="BF669" i="1"/>
  <c r="BT669" i="1"/>
  <c r="BF670" i="1"/>
  <c r="BT670" i="1"/>
  <c r="BF671" i="1"/>
  <c r="BT671" i="1"/>
  <c r="BF672" i="1"/>
  <c r="BT672" i="1"/>
  <c r="BF673" i="1"/>
  <c r="BT673" i="1"/>
  <c r="BF674" i="1"/>
  <c r="BT674" i="1"/>
  <c r="BT675" i="1"/>
  <c r="BF676" i="1"/>
  <c r="BT676" i="1"/>
  <c r="BF677" i="1"/>
  <c r="BT677" i="1"/>
  <c r="BF678" i="1"/>
  <c r="BT678" i="1"/>
  <c r="BF679" i="1"/>
  <c r="BT679" i="1"/>
  <c r="BF680" i="1"/>
  <c r="BT680" i="1"/>
  <c r="BF681" i="1"/>
  <c r="BT681" i="1"/>
  <c r="BF682" i="1"/>
  <c r="BT682" i="1"/>
  <c r="BF683" i="1"/>
  <c r="BT683" i="1"/>
  <c r="BF684" i="1"/>
  <c r="BT684" i="1"/>
  <c r="BT685" i="1"/>
  <c r="BT686" i="1"/>
  <c r="BT687" i="1"/>
  <c r="BT688" i="1"/>
  <c r="BT689" i="1"/>
  <c r="BT690" i="1"/>
  <c r="BT691" i="1"/>
  <c r="BT692" i="1"/>
  <c r="BF693" i="1"/>
  <c r="BT693" i="1"/>
  <c r="BF694" i="1"/>
  <c r="BT694" i="1"/>
  <c r="BT695" i="1"/>
  <c r="BT696" i="1"/>
  <c r="BT697" i="1"/>
  <c r="BT698" i="1"/>
  <c r="BT699" i="1"/>
  <c r="BT700" i="1"/>
  <c r="BT701" i="1"/>
  <c r="BT702" i="1"/>
  <c r="BT703" i="1"/>
  <c r="BT704" i="1"/>
  <c r="BF705" i="1"/>
  <c r="BT705" i="1"/>
  <c r="BF706" i="1"/>
  <c r="BT706" i="1"/>
  <c r="BF707" i="1"/>
  <c r="BT707" i="1"/>
  <c r="BF708" i="1"/>
  <c r="BT708" i="1"/>
  <c r="BF709" i="1"/>
  <c r="BT709" i="1"/>
  <c r="BF710" i="1"/>
  <c r="BT710" i="1"/>
  <c r="BF711" i="1"/>
  <c r="BT711" i="1"/>
  <c r="BF712" i="1"/>
  <c r="BT712" i="1"/>
  <c r="BF713" i="1"/>
  <c r="BT713" i="1"/>
  <c r="BT714" i="1"/>
  <c r="BF715" i="1"/>
  <c r="BT715" i="1"/>
  <c r="BF716" i="1"/>
  <c r="BT716" i="1"/>
  <c r="BF717" i="1"/>
  <c r="BT717" i="1"/>
  <c r="BF718" i="1"/>
  <c r="BT718"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T741" i="1"/>
  <c r="BF742" i="1"/>
  <c r="BT742" i="1"/>
  <c r="BF743" i="1"/>
  <c r="BT743"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T800" i="1"/>
  <c r="BF801" i="1"/>
  <c r="BT801" i="1"/>
  <c r="BT802" i="1"/>
  <c r="BF803" i="1"/>
  <c r="BT803" i="1"/>
  <c r="BT804" i="1"/>
  <c r="BT805" i="1"/>
  <c r="BT806" i="1"/>
  <c r="BT807" i="1"/>
  <c r="BT808" i="1"/>
  <c r="BT809" i="1"/>
  <c r="BF810" i="1"/>
  <c r="BT810" i="1"/>
  <c r="BF811" i="1"/>
  <c r="BT811" i="1"/>
  <c r="BF812" i="1"/>
  <c r="BT812" i="1"/>
  <c r="BT813" i="1"/>
  <c r="BF814" i="1"/>
  <c r="BT814" i="1"/>
  <c r="BF815" i="1"/>
  <c r="BT815" i="1"/>
  <c r="BT816" i="1"/>
  <c r="BT817" i="1"/>
  <c r="BT818" i="1"/>
  <c r="BF819" i="1"/>
  <c r="BT819" i="1"/>
  <c r="BF820" i="1"/>
  <c r="BT820" i="1"/>
  <c r="BF821" i="1"/>
  <c r="BT821"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T842" i="1"/>
  <c r="BT843" i="1"/>
  <c r="BF844" i="1"/>
  <c r="BT844" i="1"/>
  <c r="BF845" i="1"/>
  <c r="BT845" i="1"/>
  <c r="BT846" i="1"/>
  <c r="BT847" i="1"/>
  <c r="BT848" i="1"/>
  <c r="BT849"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T871" i="1"/>
  <c r="BT872" i="1"/>
  <c r="BF873" i="1"/>
  <c r="BT873" i="1"/>
  <c r="BF874" i="1"/>
  <c r="BT874" i="1"/>
  <c r="BT875" i="1"/>
  <c r="BT876" i="1"/>
  <c r="BF877" i="1"/>
  <c r="BT877" i="1"/>
  <c r="BF878" i="1"/>
  <c r="BT878" i="1"/>
  <c r="BF879" i="1"/>
  <c r="BT879"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T893" i="1"/>
  <c r="BF894" i="1"/>
  <c r="BT894" i="1"/>
  <c r="BF895" i="1"/>
  <c r="BT895" i="1"/>
  <c r="BT896" i="1"/>
  <c r="BF897" i="1"/>
  <c r="BT897" i="1"/>
  <c r="BF898" i="1"/>
  <c r="BT898" i="1"/>
  <c r="BT899"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T942" i="1"/>
  <c r="BF943" i="1"/>
  <c r="BT943" i="1"/>
  <c r="BF944" i="1"/>
  <c r="BT944" i="1"/>
  <c r="BT945"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T962" i="1"/>
  <c r="BF963" i="1"/>
  <c r="BT963" i="1"/>
  <c r="BT964" i="1"/>
  <c r="BT965" i="1"/>
  <c r="BF966" i="1"/>
  <c r="BT966" i="1"/>
  <c r="BF967" i="1"/>
  <c r="BT967" i="1"/>
  <c r="BF968" i="1"/>
  <c r="BT968"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T983" i="1"/>
  <c r="BF984" i="1"/>
  <c r="BT984" i="1"/>
  <c r="BF985" i="1"/>
  <c r="BT985" i="1"/>
  <c r="BF986" i="1"/>
  <c r="BT986" i="1"/>
  <c r="BF987" i="1"/>
  <c r="BT987" i="1"/>
  <c r="BF988" i="1"/>
  <c r="BT988" i="1"/>
  <c r="BF989" i="1"/>
  <c r="BT989" i="1"/>
  <c r="BT990" i="1"/>
  <c r="BF991" i="1"/>
  <c r="BT991" i="1"/>
  <c r="BF992" i="1"/>
  <c r="BT992" i="1"/>
  <c r="BF993" i="1"/>
  <c r="BT993" i="1"/>
  <c r="BF994" i="1"/>
  <c r="BT994" i="1"/>
  <c r="BF995" i="1"/>
  <c r="BT995" i="1"/>
  <c r="BF996" i="1"/>
  <c r="BT996" i="1"/>
  <c r="BT997" i="1"/>
  <c r="BF998" i="1"/>
  <c r="BT998" i="1"/>
  <c r="BF999" i="1"/>
  <c r="BT999" i="1"/>
  <c r="BF1000" i="1"/>
  <c r="BT1000" i="1"/>
  <c r="BF1001" i="1"/>
  <c r="BT1001" i="1"/>
</calcChain>
</file>

<file path=xl/sharedStrings.xml><?xml version="1.0" encoding="utf-8"?>
<sst xmlns="http://schemas.openxmlformats.org/spreadsheetml/2006/main" count="59555" uniqueCount="13470">
  <si>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</si>
  <si>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</si>
  <si>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</si>
  <si>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</si>
  <si>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</si>
  <si>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</si>
  <si>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</si>
  <si>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</si>
  <si>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</si>
  <si>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</si>
  <si>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</si>
  <si>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</si>
  <si>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</si>
  <si>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</si>
  <si>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</si>
  <si>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</si>
  <si>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</si>
  <si>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</si>
  <si>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</si>
  <si>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</si>
  <si>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</si>
  <si>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</si>
  <si>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</si>
  <si>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</si>
  <si>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</si>
  <si>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</si>
  <si>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</si>
  <si>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</si>
  <si>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</si>
  <si>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</si>
  <si>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</si>
  <si>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</si>
  <si>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</si>
  <si>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</si>
  <si>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</si>
  <si>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</si>
  <si>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</si>
  <si>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</si>
  <si>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</si>
  <si>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</si>
  <si>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</si>
  <si>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</si>
  <si>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</si>
  <si>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</si>
  <si>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</si>
  <si>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</si>
  <si>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</si>
  <si>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</si>
  <si>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</si>
  <si>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</si>
  <si>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</si>
  <si>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</si>
  <si>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</si>
  <si>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</si>
  <si>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</si>
  <si>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</si>
  <si>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</si>
  <si>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</si>
  <si>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</si>
  <si>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</si>
  <si>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</si>
  <si>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</si>
  <si>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</si>
  <si>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</si>
  <si>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</si>
  <si>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</si>
  <si>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</si>
  <si>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</si>
  <si>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</si>
  <si>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</si>
  <si>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</si>
  <si>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</si>
  <si>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</si>
  <si>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van Bergen, PF; Poole, I</t>
  </si>
  <si>
    <t/>
  </si>
  <si>
    <t>Stable carbon isotopes of wood: a clue to palaeoclimate?</t>
  </si>
  <si>
    <t>PALAEOGEOGRAPHY PALAEOCLIMATOLOGY PALAEOECOLOGY</t>
  </si>
  <si>
    <t>English</t>
  </si>
  <si>
    <t>Article; Proceedings Paper</t>
  </si>
  <si>
    <t>Symposium on Palaeoclimate Reconstructions Using Fossils</t>
  </si>
  <si>
    <t>APR, 2000</t>
  </si>
  <si>
    <t>UNIV MANCHESTER, MANCHESTER, ENGLAND</t>
  </si>
  <si>
    <t>UNIV MANCHESTER</t>
  </si>
  <si>
    <t>stable carbon isotopes; pyrolysis; fossil wood; palaeoclimate; lignin; cellulose</t>
  </si>
  <si>
    <t>ATMOSPHERIC CO2; FOSSIL PLANTS; CHEMICAL-CHARACTERIZATION; ANALYTICAL PYROLYSIS; SEED COATS; TREE; LIGNIN; MIOCENE; C-13; CELLULOSE</t>
  </si>
  <si>
    <t>Detailed stable carbon isotope and molecular investigations were undertaken on a number of archaeological and fossil wood specimens to provide insights into their use as rigorous independent palaeoclimatic and palaeoenvironmental parameters. The isotope data revealed large differences amongst the material with the oldest specimens being least depleted in C-13. Although natural variation could account for some of the observed differences, the isotope values of the archaeological and Tertiary specimens are most probably related to the absolute abundance of polysaccharides present and the degree of lignin alteration. The molecular data, based on pyrolysis, of the Antarctic Cretaceous conifer specimens revealed only transformed lignin, with virtually no intact lignin building blocks (2-methoxyphenols) preserved, and no evidence of polysaccharides. This degree of chemical alteration is suggested here to be one of the main causes for the C-13 enriched values of these conifer specimens. These results show the importance of combining detailed molecular information on individual wood components with stable carbon isotope data for palaeoclimatic and palaeoenvironmental studies. (C) 2002 Elsevier Science B.V. All rights reserved.</t>
  </si>
  <si>
    <t>Univ Utrecht, Fac Earth Sci, NL-3508 TA Utrecht, Netherlands; Univ Leeds, Sch Earth Sci, Leeds LS2 9JT, W Yorkshire, England</t>
  </si>
  <si>
    <t>Utrecht University; University of Leeds</t>
  </si>
  <si>
    <t>Univ Utrecht, Fac Earth Sci, POB 80021, NL-3508 TA Utrecht, Netherlands.</t>
  </si>
  <si>
    <t>p.vanbergen@geo.uu.nl</t>
  </si>
  <si>
    <t>ELSEVIER</t>
  </si>
  <si>
    <t>AMSTERDAM</t>
  </si>
  <si>
    <t>RADARWEG 29, 1043 NX AMSTERDAM, NETHERLANDS</t>
  </si>
  <si>
    <t>0031-0182</t>
  </si>
  <si>
    <t>1872-616X</t>
  </si>
  <si>
    <t>PALAEOGEOGR PALAEOCL</t>
  </si>
  <si>
    <t>Paleogeogr. Paleoclimatol. Paleoecol.</t>
  </si>
  <si>
    <t>JUL 1</t>
  </si>
  <si>
    <t>1-2</t>
  </si>
  <si>
    <t>SI</t>
  </si>
  <si>
    <t>PII S0031-0182(01)00451-5</t>
  </si>
  <si>
    <t>10.1016/S0031-0182(01)00451-5</t>
  </si>
  <si>
    <t>Geography, Physical; Geosciences, Multidisciplinary; Paleontology</t>
  </si>
  <si>
    <t>Science Citation Index Expanded (SCI-EXPANDED); Conference Proceedings Citation Index - Science (CPCI-S)</t>
  </si>
  <si>
    <t>Physical Geography; Geology; Paleontology</t>
  </si>
  <si>
    <t>569PN</t>
  </si>
  <si>
    <t>Green Published</t>
  </si>
  <si>
    <t>2024-04-21</t>
  </si>
  <si>
    <t>WOS:000176611200004</t>
  </si>
  <si>
    <t>Francis, JE; Poole, I</t>
  </si>
  <si>
    <t>Cretaceous and early Tertiary climates of Antarctica: evidence from fossil wood</t>
  </si>
  <si>
    <t>palaeoclimate; Antarctica; Cretaceous; Tertiary; fossil wood; conifer; angiosperm</t>
  </si>
  <si>
    <t>JAMES-ROSS-ISLAND; DICOTYLEDONOUS WOOD; ALEXANDER-ISLAND; CONIFER WOODS; 1ST RECORD; GROWTH; ANATOMY; FORESTS; EOCENE; BASIN</t>
  </si>
  <si>
    <t>Fossil wood is abundant in Cretaceous and early Tertiary sediments of the northern Antarctic Peninsula region. The wood represents the remains of vegetation that once grew in high palaeolatitudes when the polar regions were warmer, during former greenhouse climates. Fossil wood is a unique data store of palaeoclimate information. Analyses of growth rings and anatomical characters in fossil wood provide important information about temperature, rainfall, seasonality and climate trends for this time period in Antarctica. Climate signals from fossil wood, supported by sedimentary and geochemical evidence, indicate a trend of cool climates during the Early Cretaceous, followed by peak warmth during the Coniacian to early Campanian. Narrower growth rings suggest that the climate cooled during the Maastrichtian and Palaeocene. Cool, wet and possibly seasonal climates prevailed at this time, with tentatively estimated mean annual temperatures (MATs) falling from 7degreesC to 4-8degreesC respectively, determined from dicotyledonous (dicot) wood anatomy. The Late Palaeocene/Early Eocene was once again warm, with estimated MATs of 7-15degreesC from dicot wood analysis, but conditions subsequently deteriorated through the latter part of the Eocene, when cold seasonal climates developed, ultimately leading to the onset of Cenozoic ice sheets and the elimination of vegetation from most of Antarctica. (C) 2002 Elsevier Science B.V. All rights reserved.</t>
  </si>
  <si>
    <t>Univ Leeds, Sch Earth Sci, Leeds LS2 9JT, W Yorkshire, England</t>
  </si>
  <si>
    <t>University of Leeds</t>
  </si>
  <si>
    <t>Univ Leeds, Sch Earth Sci, Leeds LS2 9JT, W Yorkshire, England.</t>
  </si>
  <si>
    <t>j.francis@earth.leeds.ac.uk</t>
  </si>
  <si>
    <t>PII S0031-0182(01)00452-7</t>
  </si>
  <si>
    <t>10.1016/S0031-0182(01)00452-7</t>
  </si>
  <si>
    <t>WOS:000176611200005</t>
  </si>
  <si>
    <t>Haywood, AM; Valdes, PJ; Sellwood, BW; Kaplan, JO</t>
  </si>
  <si>
    <t>Antarctic climate during the middle Pliocene: model sensitivity to ice sheet variation</t>
  </si>
  <si>
    <t>Antarctica; middle Pliocene; general circulation model; ice sheet; sensitivity</t>
  </si>
  <si>
    <t>GENERAL-CIRCULATION MODELS; SOUTHERN VICTORIA-LAND; ATLANTIC COASTAL-PLAIN; TRANSANTARCTIC MOUNTAINS; DRY-VALLEYS; SIRIUS GROUP; SEA-LEVEL; LANDSCAPE EVOLUTION; EAST ANTARCTICA; EXPOSURE AGES</t>
  </si>
  <si>
    <t>Significant controversy exists surrounding the nature of the Antarctic ice sheet during the period of middle Pliocene warmth. This paper outlines the output from three sensitivity experiments for the middle Pliocene, using the UKMO GCM and the USGS PRISM2 data set. Different East Antarctic ice sheet configurations were prescribed in each modelling experiment conforming to a dynamic (sea level 35 m higher than at present), intermediate (Pliocene 'control', sea level 25 m higher than at present) and stable (sea level 12-15 in higher than at present) scenario for the nature of the Antarctic ice sheet during the middle Pliocene. All three scenarios would have provided middle Pliocene sea levels across the spectrum of estimates provided by known geological data. Model outputs indicate that surface temperature increases are greatest in the Pliocene 'dynamic' experiment. Climatic conditions for the Pliocene 'control' and 'stable' experiments remain harsh over Antarctica with surface temperatures rising above freezing (mean +4degreesC) for a maximum of 2 months per year. In contrast, mean surface temperatures from the Pliocene 'dynamic' experiment rise above freezing (mean +10degreesC) for 4 months of the year. Climatic outputs from all of the Pliocene experiments were used in a biome model (BIOME 4). For the Pliocene 'control' and 'stable' experiments, BIOME 4 predicted the occurrence of exclusively tundra type vegetation on Antarctica. For the 'dynamic' experiment, climatic conditions ameliorated sufficiently to allow BIOME 4 to predict deciduous taiga montane forests on Antarctica. Thus the results from the 'dynamic' experiment are consistent with reported Pliocene Nothofagus occurrences on Antarctica. In the future, more sophisticated palaeoclimate modelling studies need to employ atmospheric general circulation models (GCMs) coupled to dynamic ocean and ice sheet models. This will allow the GCM to predict rather than prescribe an Antarctic ice sheet configuration in equilibrium with reconstructed middle Pliocene sea surface temperatures. Such an approach may also shed light on how the Antarctic ice sheet responded to climate variability during the middle Pliocene. (C) 2002 Elsevier Science B.V. All rights reserved.</t>
  </si>
  <si>
    <t>Univ Reading, Postgrad Res Inst Sedimentol, Reading RG6 6AB, Berks, England; Univ Reading, Dept Meteorol, Reading RG6 6BB, Berks, England; Max Planck Inst Biogeochem, D-07701 Jena, Germany</t>
  </si>
  <si>
    <t>University of Reading; University of Reading; Max Planck Society</t>
  </si>
  <si>
    <t>Univ Reading, Postgrad Res Inst Sedimentol, POB 227,Whiteknights, Reading RG6 6AB, Berks, England.</t>
  </si>
  <si>
    <t>sws01amh@met.rdg.ac.uk</t>
  </si>
  <si>
    <t>Kaplan, Jed O./P-1796-2015; Valdes, Paul/T-2004-2019; Valdes, Paul J/C-4129-2013</t>
  </si>
  <si>
    <t>Kaplan, Jed O./0000-0001-9919-7613; Valdes, Paul/0000-0002-1902-3283;</t>
  </si>
  <si>
    <t>ELSEVIER SCIENCE BV</t>
  </si>
  <si>
    <t>PO BOX 211, 1000 AE AMSTERDAM, NETHERLANDS</t>
  </si>
  <si>
    <t>PII S0031-0182(01)00454-0</t>
  </si>
  <si>
    <t>WOS:000176611200007</t>
  </si>
  <si>
    <t>Wilson, GS; Barron, JA; Ashworth, AC; Askin, RA; Carter, JA; Curren, MG; Dalhuisen, DH; Friedmann, EI; Fyodorov-Davidov, DG; Gilichinsky, DA; Harper, MA; Harwood, DM; Hiemstra, JF; Janecek, TR; Licht, KJ; Ostroumov, VE; Powell, RD; Rivkina, EM; Rose, SA; Stroeven, AP; Stroeven, P; van der Meer, JJM; Wizevich, MC</t>
  </si>
  <si>
    <t>The Mount Feather Diamicton of the Sirius Group: an accumulation of indicators of Neogene Antarctic glacial and climatic history</t>
  </si>
  <si>
    <t>Antarctica; ice sheet; Sirius Group; climate; coring; microfossils</t>
  </si>
  <si>
    <t>SOUTHERN VICTORIA-LAND; ICE-SHEET; DRY-VALLEYS; TRANSANTARCTIC MOUNTAINS; MARINE; SEDIMENTATION; PALEOCLIMATE; REDUCTION; DEPOSITS; DIATOMS</t>
  </si>
  <si>
    <t>A paucity of data from the Antarctic continent has resulted in conflicting interpretations of Neogene Antarctic glacial history. Much of the debate centres on interpretations of the glacigene Sirius Group strata that crop out as discrete deposits along the length of the Transantarctic Mountains and in particular on its age and the origin of the siliceous microfossils it encloses. Pliocene marine diatoms enclosed within Sirius Group strata are inferred to indicate a dynamic East Antarctic ice sheet that was much reduced, compared with today, in the early-middle Pliocene and then expanded again in the late Pliocene. However, the geomorphology of the Dry Valleys region is interpreted to represent a relatively long-lived (middle Miocene-recent) and stable polar climatic regime similar to that of today. The Mount Feather Diamicton infills a palaeovalley at ca. 2500 m on the NE flank of Mount Feather in the Dry Valleys region and has been included within the Sirius Group. We obtained four shallow cores (COMRAC 8, 9, 10 and 11) from beneath the permafrost boundary in the Mount Feather Diamicton in order to understand its origin and relationship with the surrounding landscape. Detailed studies of these cores (stratigraphy, sedimentology, palaeontology, micromorphology, petrography and fabric) have yielded new data that demonstrate a much more complex climatic and glacial history for the Mount Feather Diamicton than in previous interpretations. The data indicate that the Mount Feather Diamicton was deposited beneath a wet based glacier fed from a larger ice sheet behind the Transantarctic Mountains. It is, however, unlikely that this ice sheet overtopped Mount Feather (2985 m). A near-in situ non-marine diatom assemblage was recovered from 90 cm depth in COMRAC 10 and indicates a maximum depositional age of Late Miocene for the Mount Feather Diamicton. A Subsequent glacial episode has distributed a boulder blanket across the surface of the diamicton. Other post-depositional processes include drying, infilling of surface layers with aeolian sediment, and the development of melt-water runnels. We interpret these combined data to indicate the persistence of more temperate climatic and glacial conditions in the vicinity of Mount Feather until at least the Late Miocene. (C) 2002 Elsevier Science B.V. All rights reserved.</t>
  </si>
  <si>
    <t>Univ Oxford, Dept Earth Sci, Oxford OX1 3PR, England; US Geol Survey, Menlo Pk, CA 94025 USA; N Dakota State Univ, Dept Geosci, Fargo, ND 58105 USA; Ohio State Univ, Byrd Polar Res Ctr, Columbus, OH 43210 USA; Victoria Univ Wellington, Sch Earth Sci, Wellington, New Zealand; Florida State Univ, Dept Geol, Antarctic Marine Geol Res Facil, Tallahassee, FL 32306 USA; Delft Univ Technol, Fac Civil Engn, NL-2628 CN Delft, Netherlands; NASA, Ames Res Ctr, Div Space Sci, Moffett Field, CA 94035 USA; Russian Acad Sci, Inst Soil Sci &amp; Cryol, Pushchino 142292, Moscow Region, Russia; Univ Nebraska, Dept Geosci, Lincoln, NE 68588 USA; Univ Glasgow, Dept Geog &amp; Topog Sci, Glasgow G12 8QQ, Lanark, Scotland; Indiana Univ Purdue Univ, Dept Geol, Indianapolis, IN 46202 USA; No Illinois Univ, Dept Geol &amp; Environm Geosci, De Kalb, IL 60115 USA; Stockholm Univ, Dept Quaternary Res, S-10691 Stockholm, Sweden; Queen Mary Univ London, Dept Geog, London E1 4NS, England; Cornell Univ, Dept Geol Sci, Ithaca, NY 14853 USA</t>
  </si>
  <si>
    <t>University of Oxford; United States Department of the Interior; United States Geological Survey; North Dakota State University Fargo; University System of Ohio; Ohio State University; Victoria University Wellington; State University System of Florida; Florida State University; Delft University of Technology; National Aeronautics &amp; Space Administration (NASA); NASA Ames Research Center; Russian Academy of Sciences; University of Nebraska System; University of Nebraska Lincoln; University of Glasgow; Indiana University System; Indiana University-Purdue University Indianapolis; Northern Illinois University; Stockholm University; University of London; Queen Mary University London; Cornell University</t>
  </si>
  <si>
    <t>Univ Otago, Dept Geol, POB 56, Dunedin, New Zealand.</t>
  </si>
  <si>
    <t>gary.wilson@stonebow.otago.ac.nz</t>
  </si>
  <si>
    <t>Ostroumov, Vladimir/J-5157-2018; Hiemstra, John F/E-4192-2013; Wilson, Gary S/B-3803-2010; Rivkina, Elizaveta/O-5344-2014; Stroeven, Arjen/I-7330-2013</t>
  </si>
  <si>
    <t>Barron, John/0000-0002-9309-1145; Licht, Kathy/0000-0002-2233-2853; Rivkina, Elizaveta/0000-0001-7949-8056; Stroeven, Arjen/0000-0001-8812-2253; Wilson, Gary/0000-0003-0025-3641</t>
  </si>
  <si>
    <t>PII S0031-0182(01)00455-2</t>
  </si>
  <si>
    <t>10.1016/S0031-0182(01)00455-2</t>
  </si>
  <si>
    <t>WOS:000176611200008</t>
  </si>
  <si>
    <t>Sjunneskog, C; Taylor, F</t>
  </si>
  <si>
    <t>Postglacial marine diatom record of the Palmer Deep, Antarctic Peninsula (ODP Leg 178, Site 1098) 1. Total diatom abundance</t>
  </si>
  <si>
    <t>PALEOCEANOGRAPHY</t>
  </si>
  <si>
    <t>Article</t>
  </si>
  <si>
    <t>Antarctic Peninsula; diatom abundance; Chaetoceros; climate change; Holocene</t>
  </si>
  <si>
    <t>JAMES-ROSS-ISLAND; MULLER ICE SHELF; CONTINENTAL-SHELF; SEDIMENT TRAP; SEA-ICE; CLIMATE; ATLANTIC; RETREAT; STRATIGRAPHY; ASSEMBLAGES</t>
  </si>
  <si>
    <t>[1] Late Pleistocene to Holocene climate variability in the Antarctic Peninsula is described from Ocean Drilling Program (ODP) Leg 178 Site 1098 (Palmer Deep) using total diatom abundance (valves per gram dry sediment) as a paleoproductivity proxy. Diatom frustules are absent in the diamicton at the base of the core, which was deposited prior to age calibrated circa 13.2 ka. Immediately above, the diamicton frustules are in low abundance as rare fragments and become increasingly more abundant and well preserved up core. A rapid and major increase in productivity after circa 12.8 ka is evident from distinctly laminated sediments that overlie the diamicton. The strongly laminated section was deposited during a deglaciation phase'' that followed the retreat of grounded ice after the Last Glacial Maximum. Diatom productivity decreased during a climatic cooling and/or change in meltwater supply, until circa 9.0 ka. Between 9.0 and 4.4 ka, productivity increased steadily again, with diatom abundance maxima reached during a mid-Holocene climatic optimum.'' The optimum is interrupted by a brief cold event of similar to1000 years duration 6.0-5.0 ka. After 4.4 ka, productivity generally decreased, and the last 500 years have experienced the lowest diatom productivity of the postglacial period. The Palmer Deep sediment is compared to ice core and lake sediment records from other regions around the Antarctic Peninsula. These diverse data sets confirm that the Antarctic Peninsula has been a region of rapid and variable climate fluctuation since the Last Glacial Maximum.</t>
  </si>
  <si>
    <t>Uppsala Univ, Dept Earth Sci, S-75236 Uppsala, Sweden; Hamilton Coll, Dept Geol, Clinton, NY 13323 USA</t>
  </si>
  <si>
    <t>Uppsala University; Hamilton College</t>
  </si>
  <si>
    <t>Uppsala Univ, Dept Earth Sci, Villavagen 16, S-75236 Uppsala, Sweden.</t>
  </si>
  <si>
    <t>charlotte.sjunneskog@natgeog.uu.se; fiona_taylor72@hotmail.com</t>
  </si>
  <si>
    <t>AMER GEOPHYSICAL UNION</t>
  </si>
  <si>
    <t>WASHINGTON</t>
  </si>
  <si>
    <t>2000 FLORIDA AVE NW, WASHINGTON, DC 20009 USA</t>
  </si>
  <si>
    <t>0883-8305</t>
  </si>
  <si>
    <t>1944-9186</t>
  </si>
  <si>
    <t>Paleoceanography</t>
  </si>
  <si>
    <t>JUL-AUG</t>
  </si>
  <si>
    <t>10.1029/2000PA000563</t>
  </si>
  <si>
    <t>Geosciences, Multidisciplinary; Oceanography; Paleontology</t>
  </si>
  <si>
    <t>Science Citation Index Expanded (SCI-EXPANDED)</t>
  </si>
  <si>
    <t>Geology; Oceanography; Paleontology</t>
  </si>
  <si>
    <t>611KE</t>
  </si>
  <si>
    <t>Bronze</t>
  </si>
  <si>
    <t>WOS:000179015500001</t>
  </si>
  <si>
    <t>Taylor, F; Sjunneskog, C</t>
  </si>
  <si>
    <t>Postglacial marine diatom record of the Palmer Deep, Antarctic Peninsula (ODP Leg 178, Site 1098) 2. Diatom assemblages</t>
  </si>
  <si>
    <t>paleoclimatology; diatoms; Antarctic Peninsula; Holocene</t>
  </si>
  <si>
    <t>SOUTH-SHETLAND-ISLANDS; WEDDELL SEA; SURFACE SEDIMENTS; ROSS SEA; ARTHUR HARBOR; ICE-SHEET; PRYDZ BAY; PACK ICE; DISTRIBUTIONS; CALIFORNIA</t>
  </si>
  <si>
    <t>[1] The distribution of Late Pleistocene to Holocene diatom assemblages from Ocean Drilling Program (ODP) Leg 178 Site 1098 (Palmer Deep) is described and compared using multivariate statistical methods (cluster analysis and analysis of variance). Five assemblages are identified from Site 1098, which are correlated with the climatic zones identified previously in the Palmer Deep [Domack et al., 2001]. A Thalassiosira diatom assemblage characterizes the deglaciation phase'' (13.2-11.0 ka) and was deposited during glacial retreat at the end of the regional Last Glacial Maximum. A well-preserved Rhizosolenia assemblage was deposited during a climatic reversal'' (11.0-9.0 ka) and indicates periods of seasonally open water with diatom blooms. An open water Fragilariopsis kerguelensis assemblage characterizes the mid-Holocene climatic optimum (9.0-3.7 ka). In the Neoglacial (late Holocene, &lt;3.7 ka), climatic cooling, increased sea ice cover, and increased wind are inferred from a Cocconeis assemblage. During the climatic optimum/Neoglacial transition (4.4-1.8 ka), laminae characterized by Corethron criophilum were preserved. It is uncertain whether the laminae represent short-lived (interannual) bloom events with high settling rates or have been deposited over longer time periods.</t>
  </si>
  <si>
    <t>Hamilton Coll, Dept Geol, Clinton, NY 13323 USA; Uppsala Univ, Dept Earth Sci, S-75236 Uppsala, Sweden</t>
  </si>
  <si>
    <t>Hamilton College; Uppsala University</t>
  </si>
  <si>
    <t>Colgate Univ, Dept Geol, Hamilton, NY 13346 USA.</t>
  </si>
  <si>
    <t>fiona_taylor72@hotmail.com; charlotte.sjunneskog@natgeog.uu.se</t>
  </si>
  <si>
    <t>10.1029/2000PA000564</t>
  </si>
  <si>
    <t>WOS:000179015500016</t>
  </si>
  <si>
    <t>Mehlhorn, B; Mehlhorn, H; Plötz, J</t>
  </si>
  <si>
    <t>Light and scanning electron microscopical study on Antarctophthirus ogmorhini lice from the Antarctic seal Leptonychotes weddelli</t>
  </si>
  <si>
    <t>PARASITOLOGY RESEARCH</t>
  </si>
  <si>
    <t>Adult lice (Antarctophthirus ogmorhini) from the Weddell seal Leptonychotes weddellii were investigated by means of light and scanning electron microscopy. We established that this species is characterized by several morphological peculiarities which enable it to survive the low temperatures of the Antarctic sea and the body depression which occurs during the deep (450 in) and long diving periods of the seals. The main peculiarities are: (1) the cuticle of the ventral and lateral surfaces 1:3 much thinner than that of the dorsal surface, (2) the body has numerous stiff spines which are covered by a thick layer of the seal's sebum that closely surrounds the body of the louse, (3) the whole body is covered by a close layer of leaf-like scales which are apparently able to trap air bubbles and thus to provide a small zone of air close to the surface of the cuticle.</t>
  </si>
  <si>
    <t>Univ Dusseldorf, Inst Zoomorphol Zellbiol &amp; Parasitol, D-40225 Dusseldorf, Germany; Alfred Wegener Inst Polar &amp; Marine Res, D-27568 Bremerhaven, Germany</t>
  </si>
  <si>
    <t>Heinrich Heine University Dusseldorf; Helmholtz Association; Alfred Wegener Institute, Helmholtz Centre for Polar &amp; Marine Research</t>
  </si>
  <si>
    <t>Univ Dusseldorf, Inst Zoomorphol Zellbiol &amp; Parasitol, D-40225 Dusseldorf, Germany.</t>
  </si>
  <si>
    <t>mehlhorn@uni-duesseldorf.de</t>
  </si>
  <si>
    <t>SPRINGER</t>
  </si>
  <si>
    <t>NEW YORK</t>
  </si>
  <si>
    <t>233 SPRING ST, NEW YORK, NY 10013 USA</t>
  </si>
  <si>
    <t>0932-0113</t>
  </si>
  <si>
    <t>1432-1955</t>
  </si>
  <si>
    <t>PARASITOL RES</t>
  </si>
  <si>
    <t>Parasitol. Res.</t>
  </si>
  <si>
    <t>JUL</t>
  </si>
  <si>
    <t>10.1007/s00436-002-0630-7</t>
  </si>
  <si>
    <t>Parasitology</t>
  </si>
  <si>
    <t>572MC</t>
  </si>
  <si>
    <t>WOS:000176777700010</t>
  </si>
  <si>
    <t>French, HM; Guglielmin, M</t>
  </si>
  <si>
    <t>Observations on granite weathering phenomena, Mount Keinath, Northern Victoria Land, Antarctica</t>
  </si>
  <si>
    <t>PERMAFROST AND PERIGLACIAL PROCESSES</t>
  </si>
  <si>
    <t>granite; cryogenic weathering; grooves; rock varnish; Antarctica</t>
  </si>
  <si>
    <t>ROCK VARNISH</t>
  </si>
  <si>
    <t>Rock varnish, erosional grooves, and well-developed cavernous weathering phenomena occur in close association on a small biotite-monzogranite nunatak in the Northern Foothills region, Northern Victoria Land, Antarctica. The grooves, similar in appearance to the 'rinnenkarren' described in the karst literature, are developed on steeply inclined (&gt;35degrees) bedrock surfaces while the rock varnish occurs on adjacent, more gently sloping (&lt;15degrees) bedrock surfaces. The varnish forms a resistant carapace through which small weathering pits have developed and below which are large cavernously weathered hollows (taffoni). We argue that the intimate association between the grooves and the rock varnish indicate the nunatak has been exposed to a long period of subaerial weathering. The preservation of both phenomena supports (a) the idea that landscape modification in this exceptionally cold and and region of Antarctica is very slow and (b) the long-term stability of the Antarctic ice sheet. Copyright (C) 2002 John Wiley Sons, Ltd.</t>
  </si>
  <si>
    <t>Univ Ottawa, Dept Geog, Ottawa, ON K1N 6N5, Canada; Univ Ottawa, Dept Earth Sci, Ottawa, ON K1N 6N5, Canada; Univ Ottawa, Ottawa Carleton Geosci Ctr, Ottawa, ON K1N 6N5, Canada; PNRA, Milan, Italy</t>
  </si>
  <si>
    <t>University of Ottawa; University of Ottawa; University of Ottawa</t>
  </si>
  <si>
    <t>French, HM (corresponding author), Univ Ottawa, Dept Geog, Ottawa, ON K1N 6N5, Canada.</t>
  </si>
  <si>
    <t>JOHN WILEY &amp; SONS LTD</t>
  </si>
  <si>
    <t>W SUSSEX</t>
  </si>
  <si>
    <t>BAFFINS LANE CHICHESTER, W SUSSEX PO19 1UD, ENGLAND</t>
  </si>
  <si>
    <t>1045-6740</t>
  </si>
  <si>
    <t>PERMAFROST PERIGLAC</t>
  </si>
  <si>
    <t>Permafrost Periglacial Process.</t>
  </si>
  <si>
    <t>JUL-SEP</t>
  </si>
  <si>
    <t>10.1002/ppp.423</t>
  </si>
  <si>
    <t>Geography, Physical; Geology</t>
  </si>
  <si>
    <t>Physical Geography; Geology</t>
  </si>
  <si>
    <t>608JP</t>
  </si>
  <si>
    <t>WOS:000178843000005</t>
  </si>
  <si>
    <t>Carver, S; Mikkelsen, N; Woodward, J</t>
  </si>
  <si>
    <t>Long-term rates of mass wasting in Mesters Vig, northeast Greenland: Notes on a re-survey</t>
  </si>
  <si>
    <t>mass wasting; long-term measurement; northeast Greenland</t>
  </si>
  <si>
    <t>SOLIFLUCTION; PERMAFROST; ISLAND; SLOPE</t>
  </si>
  <si>
    <t>Re-surveys of surviving mass-wasting target lines established by A.L. Washburn in the late 1950s in the Mesters Vig area, northeast Greenland, are used to derive estimates of long-term mass wasting in the area. Rates of 2.9-8.1 cm.yr(-1) are calculated for a 2.5-3degrees slope and 1.5-30.4 cm.yr(-1) for a gelifluction lobe on a 15-23degrees slope. Compared to Washburn's short-term measurements for the same sites these long-term rates suggest a general increase in the rate of mass wasting in the Mesters, Vig area over the last 40 years. This increase may be related to a general pattern of climatic amelioration for the east coast of Greenland. Copyright (C) 2002 John Wiley Sons, Ltd.</t>
  </si>
  <si>
    <t>Univ Leeds, Sch Geog, Leeds LS2 9JT, W Yorkshire, England; GEUS, Copenhagen, Denmark; British Antarctic Survey, Cambridge CB3 0ET, England</t>
  </si>
  <si>
    <t>University of Leeds; Geological Survey Of Denmark &amp; Greenland; UK Research &amp; Innovation (UKRI); Natural Environment Research Council (NERC); NERC British Antarctic Survey</t>
  </si>
  <si>
    <t>Carver, S (corresponding author), Univ Leeds, Sch Geog, Leeds LS2 9JT, W Yorkshire, England.</t>
  </si>
  <si>
    <t>Woodward, John/I-1046-2013</t>
  </si>
  <si>
    <t>10.1002/ppp.421</t>
  </si>
  <si>
    <t>WOS:000178843000007</t>
  </si>
  <si>
    <t>Ahrens, J; Andrés, E; Bai, X; Barouch, G; Barwick, SW; Bay, RC; Becka, T; Becker, KH; Bertrand, D; Binon, F; Biron, A; Booth, J; Botner, O; Bouchta, A; Bouhali, O; Boyce, MM; Carius, S; Chen, A; Chirkin, D; Conrad, J; Cooley, J; Costa, CGS; Cowen, DF; Dalberg, E; De Clercq, C; DeYoung, T; Desiati, P; Dewulf, JP; Doksus, P; Edsjö, J; Ekström, P; Feser, T; Frère, JM; Gaisser, TK; Gaug, M; Goldschmidt, A; Hallgren, A; Halzen, F; Hanson, K; Hardtke, R; Hauschildt, T; Hellwig, M; Heukenkamp, H; Hill, GC; Hulth, PO; Hundertmark, S; Jacobsen, J; Karle, A; Kim, J; Koci, B; Köpke, L; Kowalski, M; Lamoureux, JI; Leich, H; Leuthold, M; Lindahl, P; Liubarsky, I; Loaiza, P; Lowder, DM; Madsen, J; Marciniewski, P; Matis, HS; McParland, CP; Miller, TC; Minaeva, Y; Miocinovic, P; Mock, PC; Morse, R; Neunhöffer, T; Niessen, P; Nygren, DR; Ogelman, H; Olbrechts, P; de los Heros, CP; Pohl, AC; Porrata, R; Price, PB; Przybylski, GT; Rawlins, K; Reed, C; Rhode, W; Ribordy, M; Richter, S; Martino, JR; Romenesko, P; Ross, D; Sander, HG; Schmidt, T; Schneider, D; Schwarz, R; Silvestri, A; Solarz, M; Spiczak, GM; Spiering, C; Starinsky, N; Steele, D; Steffen, P; Stokstad, RG; Streicher, O; Sudhoff, P; Sulanke, KH; Taboada, I; Thollander, L; Thon, T; Tilav, S; Vander Donckt, M; Walck, C; Weinheimer, C; Wiebusch, CH; Wiedeman, C; Wischnewski, R; Wissing, H; Woschnagg, K; Wu, W; Yodh, G; Young, S</t>
  </si>
  <si>
    <t>AMANDA Collaboration</t>
  </si>
  <si>
    <t>Observation of high energy atmospheric neutrinos with the Antarctic muon and neutrino detector array -: art. no. 012005</t>
  </si>
  <si>
    <t>PHYSICAL REVIEW D</t>
  </si>
  <si>
    <t>ICE</t>
  </si>
  <si>
    <t>The Antarctic muon and neutrino detector array (AMANDA) began collecting data with ten strings in 1997. Results from the first year of operation are presented. Neutrinos coming through the Earth from the Northern Hemisphere are identified by secondary muons moving upward through the array. Cosmic rays in the atmosphere generate a background of downward moving muons, which are about 10(6) times more abundant than the upward moving muons. Over 130 days of exposure, we observed a total of about 300 neutrino events. In the same period, a background of 1.05x10(9) cosmic ray muon events was recorded. The observed neutrino flux is consistent with atmospheric neutrino predictions. Monte Carlo simulations indicate that 90% of these events lie in the energy range 66 GeV to 3.4 TeV. The observation of atmospheric neutrinos consistent with expectations establishes AMANDA-B10 as a working neutrino telescope.</t>
  </si>
  <si>
    <t>Univ Mainz, Inst Phys, D-55099 Mainz, Germany; Univ Delaware, Bartol Res Inst, Newark, DE 19716 USA; Berg Univ Gesamthsch Wuppertal, Fachbereich Phys 8, D-42097 Wuppertal, Germany; Free Univ Brussels, Sci Fac CP230, B-1050 Brussels, Belgium; DESY Zeuthen, D-15735 Zeuthen, Germany; Kalmar Univ, Dept Technol, S-39182 Kalmar, Sweden; Lawrence Berkeley Lab, Berkeley, CA 94720 USA; Univ Calif Berkeley, Dept Phys, Berkeley, CA 94720 USA; Univ Calif Irvine, Dept Phys &amp; Astron, Irvine, CA 92697 USA; Univ Penn, Dept Phys &amp; Astron, Philadelphia, PA 19104 USA; Univ Wisconsin, Dept Phys, Madison, WI 53706 USA; Univ Wisconsin, Dept Phys, River Falls, WI 54022 USA; Univ Uppsala, Div High Energy Phys, S-75121 Uppsala, Sweden; Stockholm Univ, Dept Phys, SE-10691 Stockholm, Sweden; Free Univ Brussels, Deinst ELEM, B-1050 Brussels, Belgium</t>
  </si>
  <si>
    <t>Johannes Gutenberg University of Mainz; University of Delaware; University of Wuppertal; Universite Libre de Bruxelles; Helmholtz Association; Deutsches Elektronen-Synchrotron (DESY); Linnaeus University; University of Kalmar; United States Department of Energy (DOE); Lawrence Berkeley National Laboratory; University of California System; University of California Berkeley; University of California System; University of California Irvine; University of Pennsylvania; University of Wisconsin System; University of Wisconsin Madison; University of Wisconsin System; Uppsala University; Stockholm University; Universite Libre de Bruxelles</t>
  </si>
  <si>
    <t>Ahrens, J (corresponding author), Univ Mainz, Inst Phys, Staudinger Weg 7, D-55099 Mainz, Germany.</t>
  </si>
  <si>
    <t>DeYoung, Tyce/O-6895-2019; Matis, Howard/AAO-2082-2021; Hundertmark, Stephan/A-6592-2010; Hallgren, Allan/A-8963-2013; Bouhali, Othmane/JXM-3572-2024; Wiebusch, Christopher H.V./G-6490-2012; Botner, Olga/A-9110-2013; Gaug, Markus/L-2340-2014; Loaiza, Pia/D-5861-2013; Matis, Howard S/HMV-9747-2023; Kowalski, Marek/G-5546-2012; Diaz Velez, Juan Carlos/T-2788-2018</t>
  </si>
  <si>
    <t>DeYoung, Tyce/0000-0003-4873-3783; Bouhali, Othmane/0000-0001-7139-7322; Wiebusch, Christopher H.V./0000-0002-6418-3008; Gaug, Markus/0000-0001-8442-7877; Matis, Howard S/0000-0003-0764-4389; De Clercq, Catherine/0000-0001-5266-7059; Kowalski, Marek/0000-0001-8594-8666; Costa, Cesar/0000-0003-2134-3558; Taboada, Ignacio/0000-0003-3509-3457; Diaz Velez, Juan Carlos/0000-0002-0087-0693; Spiczak, Glenn/0000-0002-0030-0519; Hill, Gary/0000-0001-8881-6802; Perez de los Heros, Carlos/0000-0002-2084-5866; Streicher, Ole/0000-0001-7751-1843; Rhode, Wolfgang/0000-0003-2636-5000; Loaiza, Pia/0000-0003-3957-3204; Cooley, Jodi/0000-0001-6761-2042</t>
  </si>
  <si>
    <t>AMERICAN PHYSICAL SOC</t>
  </si>
  <si>
    <t>COLLEGE PK</t>
  </si>
  <si>
    <t>ONE PHYSICS ELLIPSE, COLLEGE PK, MD 20740-3844 USA</t>
  </si>
  <si>
    <t>0556-2821</t>
  </si>
  <si>
    <t>PHYS REV D</t>
  </si>
  <si>
    <t>Phys. Rev. D</t>
  </si>
  <si>
    <t>10.1103/PhysRevD.66.012005</t>
  </si>
  <si>
    <t>Astronomy &amp; Astrophysics; Physics, Particles &amp; Fields</t>
  </si>
  <si>
    <t>Astronomy &amp; Astrophysics; Physics</t>
  </si>
  <si>
    <t>582FG</t>
  </si>
  <si>
    <t>Green Submitted, Green Published</t>
  </si>
  <si>
    <t>WOS:000177338600009</t>
  </si>
  <si>
    <t>Pearce, DA; Butler, HG</t>
  </si>
  <si>
    <t>Short-term stability of the microbial community structure in a maritime Antarctic lake</t>
  </si>
  <si>
    <t>POLAR BIOLOGY</t>
  </si>
  <si>
    <t>DIEL VERTICAL MIGRATION; TEMPORAL PLANKTON DYNAMICS; DEEP CHLOROPHYLL MAXIMUM; PHYTOPLANKTON; ICE; BACTERIOPLANKTON; PATTERNS; LIGHT; ZOOPLANKTON; CYCLE</t>
  </si>
  <si>
    <t>Spatial and temporal changes in the microbial community structure in a maritime Antarctic freshwater lake were investigated over a single day/night cycle in December 1999. The community structure of key microbial planktonic groups varied with depth and this was related to both physical and chemical stratification. However., in most cases, the community structure observed at specific depths did not change over the time period studied. These results suggested short-term stability in community structure, with only some minor effects of the diel changes in irradiance on the vertical distribution of planktonic organisms. This is in marked contrast to medium- and long-term studies, which show significant changes in microbial community structure with both time and depth.</t>
  </si>
  <si>
    <t>British Antarctic Survey, NERC, Cambridge CB3 0ET, England; NERC, Terr &amp; Freshwater Sci Team, Swindon SN2 1EU, Wilts, England</t>
  </si>
  <si>
    <t>UK Research &amp; Innovation (UKRI); Natural Environment Research Council (NERC); NERC British Antarctic Survey; UK Research &amp; Innovation (UKRI); Natural Environment Research Council (NERC)</t>
  </si>
  <si>
    <t>British Antarctic Survey, NERC, High Cross,Madingley Rd, Cambridge CB3 0ET, England.</t>
  </si>
  <si>
    <t>dpearce@bas.ac.uk</t>
  </si>
  <si>
    <t>Pearce, David/0000-0001-5292-4596</t>
  </si>
  <si>
    <t>ONE NEW YORK PLAZA, SUITE 4600, NEW YORK, NY, UNITED STATES</t>
  </si>
  <si>
    <t>0722-4060</t>
  </si>
  <si>
    <t>1432-2056</t>
  </si>
  <si>
    <t>POLAR BIOL</t>
  </si>
  <si>
    <t>Polar Biol.</t>
  </si>
  <si>
    <t>10.1007/s00300-002-0370-2</t>
  </si>
  <si>
    <t>Biodiversity Conservation; Ecology</t>
  </si>
  <si>
    <t>Biodiversity &amp; Conservation; Environmental Sciences &amp; Ecology</t>
  </si>
  <si>
    <t>572MD</t>
  </si>
  <si>
    <t>WOS:000176777800001</t>
  </si>
  <si>
    <t>Mataloni, G; Tell, G</t>
  </si>
  <si>
    <t>Microalgal communities from ornithogenic soils at Cierva Point, Antarctic Peninsula</t>
  </si>
  <si>
    <t>FELLFIELD SOILS; ALGAE; DIVERSITY</t>
  </si>
  <si>
    <t>Microalgal communities inhabiting three soil sites with different degrees of influence from penguin colonies within and near the Cierva Point Site of Special Scientific Interest (64degrees10'S, 61degrees01'W) were analysed and their species composition and diversity compared with those in nearby mineral soils. Concentrations of NH4-N and PO4-P increased drastically as a function of the degree of use by the penguins. This chemical variation was accompanied by changes in algal community structure: chlorophytes and diatoms dominated the less enriched site, while cyanobacteria were the exclusive dominants at the most enriched site. A significant fraction (28%) of the recorded species were also present in the mineral soils, but their abundances decreased with nutrient concentration. Biodiversity as measured by the Shannon diversity index was lower than in the mineral soils, and dropped from 1.79 to 0.44 with increasing influence of the bird colonies. These observations indicate that soil algal biodiversity decreases with increasing trophic status, as recorded for freshwater phytoplanktonic communities.</t>
  </si>
  <si>
    <t>Univ Buenos Aires, Fac Ciencias Exactas &amp; Nat, RA-1053 Buenos Aires, DF, Argentina</t>
  </si>
  <si>
    <t>University of Buenos Aires</t>
  </si>
  <si>
    <t>Mataloni, G (corresponding author), Univ Buenos Aires, Fac Ciencias Exactas &amp; Nat, RA-1053 Buenos Aires, DF, Argentina.</t>
  </si>
  <si>
    <t>Tell, Grethe/G-5639-2015</t>
  </si>
  <si>
    <t>Tell, Grethe/0000-0003-1386-1638; Mataloni, Gabriela/0000-0002-6852-6143</t>
  </si>
  <si>
    <t>SPRINGER-VERLAG</t>
  </si>
  <si>
    <t>175 FIFTH AVE, NEW YORK, NY 10010 USA</t>
  </si>
  <si>
    <t>10.1007/s00300-002-0369-8</t>
  </si>
  <si>
    <t>WOS:000176777800002</t>
  </si>
  <si>
    <t>Cockell, CS; Horneck, G; Rettberg, P; Arendt, J; Scherer, K; Facius, R; Gugg-Helminger, A</t>
  </si>
  <si>
    <t>Human exposure to ultraviolet radiation at the Antipodes -: a comparison between an Antarctic (67°S) and Arctic (75°N) location</t>
  </si>
  <si>
    <t>SOLAR UV-RADIATION; DOSIMETRY; BIOFILM; FIELD</t>
  </si>
  <si>
    <t>We used ultraviolet radiation dosimeters to investigate human exposure at two polar latitudes with a 24-h photoperiod: at Rothera Station (UK) (67degreesS) and at a field camp in the Haughton impact structure in the Canadian High Arctic (75degreesN). Mean personal UV radiation exposure in the Antarctic location was 4.3 times greater than that in the Arctic location, even in the abence of ozone depletion. More than zenith angle accounted for the higher UV exposure. Widespread snow and ice covers, and probably less atmospheric pollution, caused higher personal exposures. Although the mean exposures were higher in the Antarctic location, the mean exposure ratio in the Antarctic (0.20 +/- 0.09) was similar to the value measured in the Arctic (0.27 +/- 0.09) on clear days. We use the Antarctic ratio to provide quantitative estimates of UV-radiation exposure for workers at the Geographical South Pole for the winter solstice under a constant 24-h photoperiod. Exposure ratios can be used to translate measurements of UV radiation by horizontally fixed spectroradiometers into estimates of the mean exposures expected in populations at polar latitudes, although variations between individuals are large. The data have implications for determining the UV exposures of indigenous high-latitude populations.</t>
  </si>
  <si>
    <t>British Antarctic Survey, Cambridge CB3 0ET, England; German Aerosp Ctr, Inst Aerosp Med, D-51170 Cologne, Germany; Univ Surrey, Sch Biol Sci, Guildford GU2 5XH, Surrey, England; Gigahertz Opt, D-82178 Puchheim, Germany</t>
  </si>
  <si>
    <t>UK Research &amp; Innovation (UKRI); Natural Environment Research Council (NERC); NERC British Antarctic Survey; Helmholtz Association; German Aerospace Centre (DLR); University of Surrey</t>
  </si>
  <si>
    <t>British Antarctic Survey, High Cross,Madingley Rd, Cambridge CB3 0ET, England.</t>
  </si>
  <si>
    <t>csco@bas.ac.uk</t>
  </si>
  <si>
    <t>Rettberg, Petra/AAI-4493-2021</t>
  </si>
  <si>
    <t>Rettberg, Petra/0000-0003-4439-2395</t>
  </si>
  <si>
    <t>10.1007/s00300-002-0381-z</t>
  </si>
  <si>
    <t>WOS:000176777800003</t>
  </si>
  <si>
    <t>Zucconi, L; Ripa, C; Selbmann, L; Onofri, S</t>
  </si>
  <si>
    <t>Effects of UV on the spores of the fungal species Arthrobotrys oligospora and A-ferox</t>
  </si>
  <si>
    <t>RADIATION; PHOTOSYNTHESIS; FLUORESCENCE; SPECTROSCOPY; HYPHOMYCETE; ANTARCTICA; PIGMENTS; OZONE; ALGA</t>
  </si>
  <si>
    <t>The effects of UV irradiation (lambda &gt; 380 nm and lambda &gt; 265 nm) on spore suspensions of a European strain of Arthrobotrys oligospora (hyphomycete) have been investigated and compared with those on a strain of the Antarctic species, A. ferox. Emission and excitation spectra of control and irradiated spore suspensions of both strains suggest a higher vulnerability of A. oligospora, which would be consistent with changes in membrane permeability and a lower amount of UV-protecting substances. Germination tests on UV-B irradiated spores confirm the higher resistance of A. ferox, which seems better adapted to the high UV radiation levels characterizing Antarctic environments.</t>
  </si>
  <si>
    <t>Univ Tuscia, Lab Bot, Dipartimento Sci Ambientali, I-01100 Viterbo, Italy</t>
  </si>
  <si>
    <t>Tuscia University</t>
  </si>
  <si>
    <t>Univ Tuscia, Lab Bot, Dipartimento Sci Ambientali, Largo Univ, I-01100 Viterbo, Italy.</t>
  </si>
  <si>
    <t>onofri@unitus.it</t>
  </si>
  <si>
    <t>Selbmann, Laura/L-3056-2013; Zucconi, L./U-9781-2018</t>
  </si>
  <si>
    <t>Selbmann, Laura/0000-0002-8967-3329; Zucconi, L./0000-0001-9793-2303; ONOFRI, Silvano/0000-0001-8872-1440; Ripa, Caterina/0000-0001-6001-930X</t>
  </si>
  <si>
    <t>10.1007/s00300-002-0371-1</t>
  </si>
  <si>
    <t>WOS:000176777800004</t>
  </si>
  <si>
    <t>Candiani, S; Oliveri, D; Carbonetti, S; Augello, A; Pestarino, M</t>
  </si>
  <si>
    <t>The tissue-specific transcription factor Pit-1 in the Antarctic nototheniold fish, Trematomus bernacchii</t>
  </si>
  <si>
    <t>CHIONODRACO-HAMATUS; GENE-EXPRESSION; TELEOST FISHES; PITUITARY; BRAIN; SOMATOLACTIN; IDENTIFICATION; LOCALIZATION; PROLACTIN; PROTEIN</t>
  </si>
  <si>
    <t>We have investigated the expression of the tissue-specific transcription factor Pit-1 and the distribution of some adenohypophyseal hormones belonging to the GH/PRL and POMC families in the pituitary of Trematomus bernacchii (Perciformes, Notothenioidei), by immunocytochemistry. Pit-1 is a member of the POU protein family, and it is responsible for GH, PRL and TSH cell commitment, differentiation and gene expression in mouse. Our results show coexistence of Pit-1, SL, GH and PRL in the pituitary of T. bernacchii. Cells containing SL, PRL and GH-like substances are widely distributed in the pituitary and coexist with Pit-l-like proteins. Moreover, SL is not expressed in the pars intermedia as demonstrated in other teleosts, and the peptides related to the proopiomelanocortin family are not colocalized with Pit-1, SL, GH and PRL. A few TSH cells are scattered throughout the pituitary and are not colocalized with Pit-1, SL, GH and PRL cells. We conclude that the pituitary gross morphology has peculiar characteristics and Pit-1 could be involved in the regulation of the GH/PRL/SL cell commitment, differentiation and gene expression in the pituitary of this Antarctic fish.</t>
  </si>
  <si>
    <t>Univ Genoa, Dipartimento Biol Sperimentale Ambientale &amp; Appli, Sez Neuroendocrinol &amp; Biol Sviluppo, I-16132 Genoa, Italy</t>
  </si>
  <si>
    <t>University of Genoa</t>
  </si>
  <si>
    <t>Pestarino, M (corresponding author), Univ Genoa, Dipartimento Biol Sperimentale Ambientale &amp; Appli, Sez Neuroendocrinol &amp; Biol Sviluppo, Viale Benedetto XV 5, I-16132 Genoa, Italy.</t>
  </si>
  <si>
    <t>Pestarino, Mario/AAN-8128-2021; Augello, Andrea/C-7321-2013; Candiani, Simona/P-8640-2014; Pestarino, Mario/B-9062-2011</t>
  </si>
  <si>
    <t>Augello, Andrea/0000-0001-5959-7989; Candiani, Simona/0000-0002-4453-5475; Pestarino, Mario/0000-0003-1681-8950</t>
  </si>
  <si>
    <t>10.1007/s00300-002-0384-9</t>
  </si>
  <si>
    <t>WOS:000176777800005</t>
  </si>
  <si>
    <t>Meyer-Rochow, VB; Bobkova, MV</t>
  </si>
  <si>
    <t>Fine structure of the lateral eyes in the tiny marine Antarctic mite Halacarellus thomasi:: an ultrastructural study</t>
  </si>
  <si>
    <t>SPECTRAL SENSITIVITY</t>
  </si>
  <si>
    <t>The lateral eyes of the tiny marine Antarctic mite, Halacarellus thomasi, consist of two entities in the same eye capsule. The optical axes of the two eyes point in different directions and the two eyes are of different sizes. The larger of the two is covered by a circular lens of approximately 13 mum diameter, with considerably greater inner than outer convex curvature. The cover of the smaller eye consists of little else than a circular 10-mum-wide transparent patch of cuticle. Both eyes have an everted retina with few (4-6) retinula cells, and their microvilli, which are oriented perpendicular to the light path, have diameters of 55 nm. Screening pigments in the form of lipid-like, electron-opaque cell inclusions, measuring 1-2 mum in size, are abundant on the proximal side of the retina. A small 1-mum-thick muscle is in contact with the eye capsule. On the basis of our structural data and comparisons with other mite species, we conclude that form, colour and polarization vision would play no role in the eye of H. thomasi. More likely, the function of the eye is to monitor seasonal daylength changes to allow synchronization of reproductive activities.</t>
  </si>
  <si>
    <t>Int Univ Bremen, Fac Sci &amp; Engn, D-28725 Bremen, Germany; Univ Oulu, Dept Biol, Oulu 90014, Finland; Russian Acad Sci, Sechenov Inst Evolutionary Physiol &amp; Biochem, St Petersburg 196140, Russia</t>
  </si>
  <si>
    <t>Jacobs University; University of Oulu; Russian Academy of Sciences; Sechenov Institute of Evolutionary Physiology &amp; Biochemistry</t>
  </si>
  <si>
    <t>Int Univ Bremen, Fac Sci &amp; Engn, Campus Ring 1, D-28725 Bremen, Germany.</t>
  </si>
  <si>
    <t>b.meyer-rochow@iu-bremen.de</t>
  </si>
  <si>
    <t>MEYER-ROCHOW, Victor Benno/AAJ-7258-2020; Zieger, Marina/AAF-3355-2020</t>
  </si>
  <si>
    <t>Zieger, Marina/0000-0003-2693-3901; MEYER-ROCHOW, V. Benno/0000-0003-1531-9244</t>
  </si>
  <si>
    <t>10.1007/s00300-002-0367-x</t>
  </si>
  <si>
    <t>WOS:000176777800006</t>
  </si>
  <si>
    <t>Sidell, BD; Hazel, JR</t>
  </si>
  <si>
    <t>Triacylglycerol lipase activities in tissues of Antarctic fishes</t>
  </si>
  <si>
    <t>BIOCHEMICAL-COMPOSITION; NOTOTHENIOID FISHES; BUOYANCY</t>
  </si>
  <si>
    <t>The activity of the lipolytic enzyme, triacylglycerol lipase (TAG lipase; E.C. 3.1.1.3) was measured in heart ventricle, liver, oxidative skeletal muscle, and adipose tissue of four species of Antarctic fishes (Chaenocephalus aceratus, Notothenia coriiceps, Trematomus newnesi, Gobionotothen gibber frons). Estimates of weight-specific activities at 0degreesC in tissues of the Antarctic fishes were broadly comparable to those reported for temperate-zone fish species assayed at their physiological temperature. Within each species, liver tissue displayed the highest weight-specific activity of TAG lipase in C. aceratus, T. newnesi, and G. gibberifrons, while adipose tissue of N. coriiceps showed the highest activity within that species. Combining these estimates with carefully measured somatic indices of the tissues, permitted assessment of the relative importance of different tissues to overall lipolytic capacity on an organismal level. On this basis, liver tissue displays the greatest capacity of TAG lipase per 100 g body weight in each of the species studied.</t>
  </si>
  <si>
    <t>Univ Maine, Sch Marine Sci, Orono, ME 04469 USA; Arizona State Univ, Dept Biol, Tempe, AZ 85287 USA</t>
  </si>
  <si>
    <t>University of Maine System; University of Maine Orono; Arizona State University; Arizona State University-Tempe</t>
  </si>
  <si>
    <t>Sidell, BD (corresponding author), Univ Maine, Sch Marine Sci, Orono, ME 04469 USA.</t>
  </si>
  <si>
    <t>10.1007/s00300-002-0375-x</t>
  </si>
  <si>
    <t>WOS:000176777800007</t>
  </si>
  <si>
    <t>Domaneschi, O; da Silva, JRMC; Neto, LRP; Passos, FD</t>
  </si>
  <si>
    <t>New perspectives on the dispersal mechanisms of the Antarctic brooding bivalve Mysella charcoti (Lamy, 1906)</t>
  </si>
  <si>
    <t>INVERTEBRATES</t>
  </si>
  <si>
    <t>Brooding is a widespread phenomenon among Antarctic bivalves. Although it should represent a handicap to dispersion, many brooding species have achieved a wide distribution in Antarctic and subantarctic waters, suggesting that they have alternative and effective methods of dispersal. Evidence of such an alternative method is presented here for the bivalve Mysella charcoti, unexpectedly found alive and healthy in feces expelled by Notothenia coriieeps (Nototheniidae: Pisces). The finding indicates that the snug-fitting shell of Mysella functions as a barrier to digestive enzymes. Withstanding passage through the digestive tract of fish allows Mysella to be passively dispersed (within the home range of the fish) and colonize new habitats or re-colonize shallow-water substrates severely impacted by ice scours.</t>
  </si>
  <si>
    <t>Univ Sao Paulo, Inst Biociencias, Dept Zool, BR-05422970 Sao Paulo, Brazil; Univ Sao Paulo, Inst Ciencias Biomed, Dept Histol &amp; Embriol, BR-05508900 Sao Paulo, Brazil</t>
  </si>
  <si>
    <t>Universidade de Sao Paulo; Universidade de Sao Paulo</t>
  </si>
  <si>
    <t>Domaneschi, O (corresponding author), Univ Sao Paulo, Inst Biociencias, Dept Zool, Caixa Postal 11461, BR-05422970 Sao Paulo, Brazil.</t>
  </si>
  <si>
    <t>Passos, Flávio Dias/AAG-5430-2020; Passos, Flávio Dias/D-6679-2012; Silva, J.R.M.C./H-7496-2016; Porto-Neto, Laercio/D-2594-2012</t>
  </si>
  <si>
    <t>Passos, Flávio Dias/0000-0002-8193-9874; Silva, J.R.M.C./0000-0002-1687-8526; Porto-Neto, Laercio/0000-0002-3536-8265</t>
  </si>
  <si>
    <t>10.1007/s00300-002-0379-6</t>
  </si>
  <si>
    <t>WOS:000176777800010</t>
  </si>
  <si>
    <t>Laybourn-Parry, J; Quayle, W; Henshaw, T</t>
  </si>
  <si>
    <t>The biology and evolution of Antarctic saline lakes in relation to salinity and trophy</t>
  </si>
  <si>
    <t>CILIATE MESODINIUM-RUBRUM; PRINCESS-ELIZABETH-LAND; ANNUAL CYCLE; VESTFOLD HILLS; PHYTOPLANKTON; WATERS; CRYPTOMONAS; TURNOVER; DYNAMICS; ECOLOGY</t>
  </si>
  <si>
    <t>Five brackish to hypersaline lakes (Highway, Ace, Pendent, Williams and Rookery) in the Vestfold Hills, eastern Antarctica were investigated during the austral summer of 1999/2000. The aims were to characterise the functional dynamics of the plankton and gain an understanding of how the different environments in the lakes have led to the evolution of different communities. The plankton was dominated by microorganisms and differed across the salinity spectrum in relation to trophy, age and the presence of meromixis. However, some elements of the plankton were common to all of the lakes, e.g. the mixtrophic ciliate, Mesodinium ruhrum, which reached abundances of 2.7 x 10(5) l(-1) and spanned a salinity gradient of 4-63parts per thousand. Marine dinoflagellate species also occurred in all of the lakes, often at high abundances in Highway Lake, Pendent Lake and Lake Williams. During December (midsummer), primary production showed an increase along the salinity gradient from Highway Lake to Lake Williams; however, it was low in hyper-nutrified Rookery Lake because of the turbidity of the waters. Bacterial production followed the same trend and was extremely high in Rookery Lake (327 mug l(-1) h(-1) in January). The lakes possessed a marine microbial plankton that has become very simplified through time, and now contains a small number of highly successful species, which were pre-adapted to surviving in extreme Antarctic lakes.</t>
  </si>
  <si>
    <t>Univ Nottingham, Sch Life &amp; Environm Sci, Nottingham NG7 2RD, England; British Antarctic Survey, Cambridge CB3 0ET, England</t>
  </si>
  <si>
    <t>University of Nottingham; UK Research &amp; Innovation (UKRI); Natural Environment Research Council (NERC); NERC British Antarctic Survey</t>
  </si>
  <si>
    <t>Univ Nottingham, Sch Life &amp; Environm Sci, Univ Pk, Nottingham NG7 2RD, England.</t>
  </si>
  <si>
    <t>J.Laybourn-Parry@nottingham.ac.uk</t>
  </si>
  <si>
    <t>QUAYLE, WENDY C/Q-3719-2016</t>
  </si>
  <si>
    <t>QUAYLE, WENDY C/0000-0003-0622-1915</t>
  </si>
  <si>
    <t>10.1007/s00300-002-0383-x</t>
  </si>
  <si>
    <t>WOS:000176777800011</t>
  </si>
  <si>
    <t>Johnstone, C; Block, W; Benson, EE; Day, JG; Staines, H; Illian, JB</t>
  </si>
  <si>
    <t>Assessing methods for collecting and transferring viable algae from Signy Island, maritime Antarctic, to the United Kingdom</t>
  </si>
  <si>
    <t>Acquisition and transfer of algae from distant polar locations to research facilities in the northern hemisphere may take several months, at which point the algae may be non-viable and in a deteriorated state. This study explores the effectiveness of 3% (w/v) Benomyl fungicide (Benlate) pre-treatments, on fungal spoilage, viability and biochemical status of algae collected from terrestrial and freshwater habitats at Signy Island, maritime Antarctic. The results allow recommendations concerning sampling procedures and species selection for the ex-situ study of Antarctic algae to be made. The three algal taxa examined showed that although the fungicide was not necessary for successful transfer of viable specimens, it had a positive effect on viability. Prasiola crispa is suggested as a target organism for future ex-situ physiological studies.</t>
  </si>
  <si>
    <t>Univ Abertay Dundee, Sch Sci &amp; Engn, Plant Conservat Grp, Dundee DD1 1HG, Scotland; British Antarctic Survey, Nat Environm Res Council, Cambridge CB3 0ET, England; Ctr Ecol &amp; Hydrol, Ambleside LA22 0LP, Cumbria, England; Univ Abertay Dundee, SIMBIOS, Dundee DD1 1HG, Scotland</t>
  </si>
  <si>
    <t>University of Abertay Dundee; UK Research &amp; Innovation (UKRI); Natural Environment Research Council (NERC); NERC British Antarctic Survey; UK Centre for Ecology &amp; Hydrology (UKCEH); University of Abertay Dundee</t>
  </si>
  <si>
    <t>Johnstone, C (corresponding author), Univ Abertay Dundee, Sch Sci &amp; Engn, Plant Conservat Grp, Bell St, Dundee DD1 1HG, Scotland.</t>
  </si>
  <si>
    <t>Day, John/N-5913-2014</t>
  </si>
  <si>
    <t>10.1007/s00300-002-0377-8</t>
  </si>
  <si>
    <t>WOS:000176777800012</t>
  </si>
  <si>
    <t>Zilitinkevich, SS; Perov, VL; King, JC</t>
  </si>
  <si>
    <t>Near-surface turbulent fluxes in stable stratification: Calculation techniques for use in general-circulation models</t>
  </si>
  <si>
    <t>QUARTERLY JOURNAL OF THE ROYAL METEOROLOGICAL SOCIETY</t>
  </si>
  <si>
    <t>climate/weather modelling; correction functions; drag coefficient; heat/mass transfer coefficients; surface-layer parametrization</t>
  </si>
  <si>
    <t>WATER-VAPOR FLUXES; BULK PARAMETERIZATION; PROFILE RELATIONSHIPS; ROUGHNESS LENGTHS; HEAT; DERIVATION</t>
  </si>
  <si>
    <t>Practically oriented flux-calculation techniques based on correction functions to the neutral drag and heat/mass transfer coefficients are further developed. In the traditional formulation, the correction functions depend only on the bulk Richardson number. However, data from measurements of turbulent fluxes and mean profiles in stable stratification over different sites exhibit too strong variability in this type of dependencies. Indirect evidence from climate and weather prediction modelling also shows that the traditional flux-calculation technique is not sufficiently advanced. It is conceivable that other mechanisms besides the surface-layer stratification and, therefore, other arguments besides the bulk Richardson number must be considered. The proposed technique includes a newly discovered effect of the static stability in the free atmosphere on the surface-layer scaling and accounts for the general essential difference between the roughness lengths for momentum and scalars. Besides bulk Richardson number, recommended correction functions depend oil one more stability parameter. involving the Brunt-Vaisala frequency in the free atmosphere, and on the roughness lengths.</t>
  </si>
  <si>
    <t>Uppsala Univ, Dept Earth Sci Meteorol, MIUU, SE-75236 Uppsala, Sweden; Swedish Meteorol &amp; Hydrol Inst, Norrkoping, Sweden; British Antarctic Survey, Cambridge, England</t>
  </si>
  <si>
    <t>Uppsala University; Swedish Meteorological &amp; Hydrological Institute; UK Research &amp; Innovation (UKRI); Natural Environment Research Council (NERC); NERC British Antarctic Survey</t>
  </si>
  <si>
    <t>Uppsala Univ, Dept Earth Sci Meteorol, MIUU, Villavagen 16, SE-75236 Uppsala, Sweden.</t>
  </si>
  <si>
    <t>sergej@met.uu.se</t>
  </si>
  <si>
    <t>Zilitinkevich, Sergej/L-8465-2015</t>
  </si>
  <si>
    <t>Zilitinkevich, Sergej/0000-0002-3909-5436</t>
  </si>
  <si>
    <t>WILEY</t>
  </si>
  <si>
    <t>HOBOKEN</t>
  </si>
  <si>
    <t>111 RIVER ST, HOBOKEN 07030-5774, NJ USA</t>
  </si>
  <si>
    <t>0035-9009</t>
  </si>
  <si>
    <t>1477-870X</t>
  </si>
  <si>
    <t>Q J ROY METEOR SOC</t>
  </si>
  <si>
    <t>Q. J. R. Meteorol. Soc.</t>
  </si>
  <si>
    <t>A</t>
  </si>
  <si>
    <t>10.1256/00359000260247363</t>
  </si>
  <si>
    <t>Meteorology &amp; Atmospheric Sciences</t>
  </si>
  <si>
    <t>580DT</t>
  </si>
  <si>
    <t>WOS:000177220200009</t>
  </si>
  <si>
    <t>Murphy, BF; Pettré, P; Simmonds, I</t>
  </si>
  <si>
    <t>Effects of changing baroclinicity on the southern hemisphere extratropical circulation</t>
  </si>
  <si>
    <t>Antarctic meteorology; climate change; extratropical cyclones; semi-annual oscillation; storm tracks</t>
  </si>
  <si>
    <t>SEMIANNUAL OSCILLATION; TEMPERATURE-GRADIENTS; CYCLONE BEHAVIOR; SEA-ICE; VARIABILITY; CLIMATE; MODULATION; DYNAMICS; MODEL</t>
  </si>
  <si>
    <t>Extratroopical cyclones of the southern hemisphere provide the primary mechanism of poleward horizontal heat and moisture transport. Their behaviour is influenced by the strength of the meridional temperature gradient in the mid troposphere. As the semi-annual oscillation (SAO) in the annual cycle of this gradient has become less dominant in recent years, we investigate the impact of modifying the gradient in two simulations with the Arpege general-circulation model. Model temperatures at 50 S near the 500 hPa level are increased (strengthening the gradient) or decreased (weakening the gradient) in two different simulations T50+ and T50-, respectively. The temperature nudging had a greater impact on the temperature gradient in T50+, but both simulations showed significant surface warming on the Antarctic coast in winter. In T50+, 500 hPa temperature and surface pressure gradients had weaker SAOs, as the circumpolar trough contracted and intensified and cyclone numbers increased along the Antarctic coast. The SAOs strengthened in T50-, and the trough became more disperse, but cyclone numbers increased north of 50 S. Baroclinicity increased (decreased) with a stronger (weaker) meridional temperature gradient, but the static stability of the atmosphere also changed with the opposite impact on baroclinicity. Thus, in T50+ the increase in cyclone numbers was greatest near the Antarctic coast but this was counteracted somewhat by the static stability increase north of 60 S. In T50- cyclone numbers increased north of 50 S because baroclinicity was increased by a stronger meridional temperature gradient and reduced static stability. Hence, the effect on the Antarctic surface climate was nonlinear, with a warmer coast in both cases in winter, and a windier East Antarctica in T50+ but calmer katabatic flow in T50-.</t>
  </si>
  <si>
    <t>Univ Reading, Reading, Berks, England; Univ Melbourne, Melbourne, Vic, Australia</t>
  </si>
  <si>
    <t>University of Reading; University of Melbourne; Melbourne Bioinformatics</t>
  </si>
  <si>
    <t>Murphy, BF (corresponding author), Univ So Queensland, Dept Biol &amp; Phys Sci, Toowoomba, Qld 4350, Australia.</t>
  </si>
  <si>
    <t>Simmonds, Ian/0000-0002-4479-3255</t>
  </si>
  <si>
    <t>ROYAL METEOROLOGICAL SOC</t>
  </si>
  <si>
    <t>READING</t>
  </si>
  <si>
    <t>104 OXFORD ROAD, READING RG1 7LJ, BERKS, ENGLAND</t>
  </si>
  <si>
    <t>B</t>
  </si>
  <si>
    <t>10.1256/003590002320603421</t>
  </si>
  <si>
    <t>587NB</t>
  </si>
  <si>
    <t>WOS:000177646300003</t>
  </si>
  <si>
    <t>Marenssi, SA; Net, LI; Santillana, SN</t>
  </si>
  <si>
    <t>Provenance, environmental and paleogeographic controls on sandstone composition in an incised-valley system: the Eocene La Meseta Formation, Seymour Island, Antarctica</t>
  </si>
  <si>
    <t>SEDIMENTARY GEOLOGY</t>
  </si>
  <si>
    <t>sedimentary petrography; sandstones; petrofacies; incised-valley systems; eocene; Antarctica</t>
  </si>
  <si>
    <t>BACK-ARC BASIN; DETRITAL MODES; MARAMBIO GROUP; VEGA-ISLAND; NORTHERN; ARENITES; DIAGENESIS; EVOLUTION; PENINSULA; CLIMATE</t>
  </si>
  <si>
    <t>The Eocene La Meseta Formation is the youngest exposed unit of the back-arc James Ross Basin, Antarctic Peninsula, cropping out in Seymour (Marambio) Island. The formation comprises 720 in of elastic sedimentary rocks of deltaic, estuarine and shallow marine origin. It was subdivided into six unconformity-based units (Valle de Las Focas, Acantilados, Campamento, Cucullaea I, Cucullaea II and Submeseta Allomembers) grouped into three main facies associations. Facies association I represents valley-confined deposition in a progradational/aggradational fide-dominated and wave-influenced delta front/delta plain environment. Facies association II includes tidal channels, mixed tidal flats, tidal inlets and deltas, washover and beach environments. Facies association III represents nonconfined tide- and storm-influenced nearshore environments. La Meseta Formation sandstones are quartzofeldspathic with some hybrid arenites (glauconite and carbonate bioclasts-rich). Sandstone detrital modes are subdivided into two distinctive petrofacies: the low quartz petrofacies (petrofacies I, Q &lt; 55% and L &gt; 12%), interpreted to retain the original provenance signal, and the high quartz petrofacies (petrofacies II, Q &gt; 55% and L &lt; 12%), representing the reworking product of the former after selective elimination of the more labile components. Petrofacies I sandstone framework grains were mainly derived from a dissected magmatic arc and an associated metamorphic belt. Textural evidence for recycling of some grains (e.g. garnet) from older sedimentary units during valley incision is not conclusive. Changes in the relative participation of source areas during the evolution of the incised-valley system are evaluated from the relative proportions of lithic fragments and monomineralic clasts derived from each rock type. Two lithic assemblages were recognized. The mixed lithic assemblage (Rv/Rm+Rp &lt; 1.4) shows participation of all rock types; it represented valley-confined environments, either during the initial stage of valley development, or after main episodes of incision. The volcanic lithic assemblage (Rv/Rm+Rp &gt; 1.4) is clearly dominated by volcanic-derived clasts; it developed at times of high sea level and/or during later stages of the valley fill, when an energy fence at the shoreline prevented delivery of sediment from the Antarctic Peninsula, thus enhancing the relative participation of local volcanic sources. (C) 2002 Elsevier Science B.V. All rights reserved.</t>
  </si>
  <si>
    <t>Univ Buenos Aires, Fac Ciencias Exactas &amp; Nat, Dept Ciencias Geol, Buenos Aires, DF, Argentina; Inst Antartico Argentino, Buenos Aires, DF, Argentina</t>
  </si>
  <si>
    <t>University of Buenos Aires; Instituto Antartico Argentino</t>
  </si>
  <si>
    <t>Univ Buenos Aires, Fac Ciencias Exactas &amp; Nat, Dept Ciencias Geol, Pabellon 2,C1428EHA, Buenos Aires, DF, Argentina.</t>
  </si>
  <si>
    <t>smarenssi@dna.gov.ar</t>
  </si>
  <si>
    <t>0037-0738</t>
  </si>
  <si>
    <t>1879-0968</t>
  </si>
  <si>
    <t>SEDIMENT GEOL</t>
  </si>
  <si>
    <t>Sediment. Geol.</t>
  </si>
  <si>
    <t>3-4</t>
  </si>
  <si>
    <t>PII S0037-0738(01)00201-9</t>
  </si>
  <si>
    <t>10.1016/S0037-0738(01)00201-9</t>
  </si>
  <si>
    <t>Geology</t>
  </si>
  <si>
    <t>561QP</t>
  </si>
  <si>
    <t>WOS:000176153900005</t>
  </si>
  <si>
    <t>Taguchi, S; Iida, T; Moriizumi, J</t>
  </si>
  <si>
    <t>Evaluation of the atmospheric transport model NIRE-CTM-96 by using measured radon-222 concentrations</t>
  </si>
  <si>
    <t>TELLUS SERIES B-CHEMICAL AND PHYSICAL METEOROLOGY</t>
  </si>
  <si>
    <t>OBSERVED RADON PROFILES; TRACER TRANSPORT; CIRCULATION; TROPOSPHERE; VALIDATION; SIMULATION; TRANSCOM; SCHEME; WINDS; SOUTH</t>
  </si>
  <si>
    <t>An atmospheric transport model, NIRE-CTM-96, was evaluated by using measured radon-222 concentrations. The model has 2.5 x 2.5 degree horizontal resolution and 15 vertical levels. Assimilated global meteorological data for 1990-1996 from the European Centre for Medium Range Weather Forecasts were used to drive the model. We used all emanation rate of radon-222 of 1 atom cm(-2) s(-1) over mostly ice-free land. Simulated concentrations were compared with measured concentrations for 22 sites worldwide including 10 stations in China. Simulated annual mean concentrations for Freiburg, Germany. and Socorro. New Mexico, and for four stations in northern China were consistent with the measured concentrations. Simulated daily concentrations for Ogasawara-Hahajima, Japan. correlated well with the measured concentrations. Simulated upper tropospheric concentrations for Moffet Field. California, demonstrated the cross-Pacific transport from central Eurasia and India-Indochina area. Simulated concentrations for two Stations in southern China were almost half of the measured concentrations. Mixing layer depth in the model was consistent with other estimates which indicates higher emanation rate there. Simulated concentrations for the South Indian Ocean and the Antarctic during summer were significantly lower than the measured concentrations: this difference was accounted for when emanation from the ocean at a rate of 0.01 atom cm(-2) s(-1) was included in the model. The model failed to simulate amplitudes of high-concentration events at Mauna Loa. These high-concentration events were possibly a result of filament-like horizontal structure or laminated vertical Structure. The vertical as well as horizontal resolution of the model were supposed to be insufficient to reproduce these fine structures.</t>
  </si>
  <si>
    <t>Natl Inst Adv Ind Sci &amp; Technol, AIST Tsukuba W, Tsukuba, Ibaraki 3058569, Japan; Nagoya Univ, Grad Sch Engn, Nagoya, Aichi 4648603, Japan</t>
  </si>
  <si>
    <t>National Institute of Advanced Industrial Science &amp; Technology (AIST); Nagoya University</t>
  </si>
  <si>
    <t>Natl Inst Adv Ind Sci &amp; Technol, AIST Tsukuba W, 16-1 Onogawa, Tsukuba, Ibaraki 3058569, Japan.</t>
  </si>
  <si>
    <t>s.taguchi@aist.go.jp</t>
  </si>
  <si>
    <t>MORIIZUMI, JUN/AAA-5915-2021</t>
  </si>
  <si>
    <t>MORIIZUMI, JUN/0000-0002-7576-3147</t>
  </si>
  <si>
    <t>TAYLOR &amp; FRANCIS LTD</t>
  </si>
  <si>
    <t>ABINGDON</t>
  </si>
  <si>
    <t>2-4 PARK SQUARE, MILTON PARK, ABINGDON OR14 4RN, OXON, ENGLAND</t>
  </si>
  <si>
    <t>1600-0889</t>
  </si>
  <si>
    <t>TELLUS B</t>
  </si>
  <si>
    <t>Tellus Ser. B-Chem. Phys. Meteorol.</t>
  </si>
  <si>
    <t>10.1034/j.1600-0889.2002.01364.x</t>
  </si>
  <si>
    <t>570RN</t>
  </si>
  <si>
    <t>hybrid</t>
  </si>
  <si>
    <t>WOS:000176671600005</t>
  </si>
  <si>
    <t>Liu, JP; Martinson, DG; Yuan, XJ; Rind, D</t>
  </si>
  <si>
    <t>Evaluating Antarctic sea ice variability and its teleconnections in global climate models</t>
  </si>
  <si>
    <t>INTERNATIONAL JOURNAL OF CLIMATOLOGY</t>
  </si>
  <si>
    <t>Antarctic sea ice edge; global climate models; teleconnection patterns; ENSO bellingshausen; Amundsen, Ross and Weddell Seas</t>
  </si>
  <si>
    <t>SOUTHERN OSCILLATION; SYSTEM-MODEL; OCEAN; TEMPERATURE; EXTENT; SENSITIVITY; ASYMMETRY; LAYER</t>
  </si>
  <si>
    <t>This study evaluates simulated Antarctic sea ice edge (SIE) variability and its teleconnections in three global coupled climate models (GISS, NCAR and GFDL) against the observations. All models do a reasonable job in simulating the seasonal advance and retreat of the Antarctic sea ice fields. The simulated GISS and NCAR SIE distributions are in agreement with observations in summer and autumn, whereas the GFDL model does best in spring and winter. A common problem is the poor simulation of the observed SIE in the Weddell Sea. All models are not particularly good at simulating the observed regionally varying SIE trends. A comparison of dominant empirical orthogonal function modes of surface air temperature (SAT) variability in each model associated with observed modes show that the models generally capture features of the more prominent covarying spatial patterns such as an El Nino-southern oscillation (ENSO)-like pattern in the tropical Pacific. The simulated teleconnection patterns between detrended Antarctic SIE anomalies and detrended global SAT anomalies in each model are evaluated for comparison with observed teleconnection patterns. All models capture the ENSO-like phenomenon to some degree. Also, the GISS and NCAR models capture the Antarctic dipole pattern and meridional banding structure through the Pacific. The Antarctic SIE regions showing the strongest extrapolar teleconnections differ among the models and between the models and observations. Almost all models miss the observed polar-extrapolar teleconnections in the central Indian, western extreme of the tropical and southern Pacific, and over the tropical continents. Copyright (C) 2002 Royal Meteorological Society.</t>
  </si>
  <si>
    <t>NASA, Goddard Space Flight Ctr, Inst Space Studies, New York, NY 10025 USA; Columbia Univ, Dept Earth &amp; Environm Sci, Palisades, NY 10964 USA; Columbia Univ, Lamont Doherty Earth Observ, Palisades, NY 10964 USA</t>
  </si>
  <si>
    <t>National Aeronautics &amp; Space Administration (NASA); NASA Goddard Space Flight Center; Columbia University; Columbia University</t>
  </si>
  <si>
    <t>Liu, JP (corresponding author), NASA, Goddard Space Flight Ctr, Inst Space Studies, 2880 Broadway, New York, NY 10025 USA.</t>
  </si>
  <si>
    <t>Yuan, Xiaojun/AAI-7770-2020; LIU, JIPING/N-6696-2016</t>
  </si>
  <si>
    <t>Yuan, Xiaojun/0000-0002-6530-1619</t>
  </si>
  <si>
    <t>0899-8418</t>
  </si>
  <si>
    <t>INT J CLIMATOL</t>
  </si>
  <si>
    <t>Int. J. Climatol.</t>
  </si>
  <si>
    <t>JUN 30</t>
  </si>
  <si>
    <t>10.1002/joc.770</t>
  </si>
  <si>
    <t>570KA</t>
  </si>
  <si>
    <t>WOS:000176656400001</t>
  </si>
  <si>
    <t>Thresher, RE</t>
  </si>
  <si>
    <t>Solar correlates of Southern Hemisphere mid-latitude climate variability</t>
  </si>
  <si>
    <t>sunspots; rainfall; sub-tropical ridge; zonal west winds; Australia; Southern Hemisphere; fisheries; animal population dynamics</t>
  </si>
  <si>
    <t>INTERANNUAL VARIABILITY; RAINFALL; WEATHER; CYCLE; PRECIPITATION; OSCILLATION; CIRCULATION; AUSTRALIA; VORTEX; TRENDS</t>
  </si>
  <si>
    <t>Atmospheric circulation in the southern mid-latitudes is dominated by strong circum-Antarctic zonal west winds (ZWW) over the latitude range of 35 to 60degreesS. These winds exhibit coherent seasonal and interannual variability, which has been related both to Antarctic (e.g. polar ice) and low-latitude climate (e.g. El Nino-southern oscillation) parameters. Historical and recent studies suggest that, at its northern margins, variability in the ZWW also has a marked quasi-decadal component. Analysis of sea-level pressure and rainfall data for the Australian region, South Africa and South America confirms frequent indications of quasi-decadal variability in parameters associated with the ZWW, which appears to be in phase around the hemisphere. This variation broadly correlates with the sunspot cycle, and specifically appears to reflect sunspot-correlated, seasonally modulated shifts in the latitude range each year of the sub-tropical ridge over eastern Australia. Sunspot-correlated variability in the southern mid-latitudes is likely to have substantial effects on temperate climate and ecology and is consistent with recent models of solar effects on upper atmospheric climate, though the mechanisms that link these to winds and rainfall at sea level remain obscure. Copyright (D 2002 Royal Meteorological Society.</t>
  </si>
  <si>
    <t>CSIRO Marine Res, Marine Lab, Hobart, Tas, Australia</t>
  </si>
  <si>
    <t>Commonwealth Scientific &amp; Industrial Research Organisation (CSIRO)</t>
  </si>
  <si>
    <t>Thresher, RE (corresponding author), CSIRO Marine Res, Marine Lab, GPO 1538, Hobart, Tas, Australia.</t>
  </si>
  <si>
    <t>Thresher, Ronald/C-7442-2009</t>
  </si>
  <si>
    <t>10.1002/joc.768</t>
  </si>
  <si>
    <t>WOS:000176656400002</t>
  </si>
  <si>
    <t>Eagles, G; Livermore, RA</t>
  </si>
  <si>
    <t>Opening history of Powell Basin, Antarctic Peninsula</t>
  </si>
  <si>
    <t>MARINE GEOLOGY</t>
  </si>
  <si>
    <t>Antarctic; Neogene; seafloor spreading; magnetic anomalies</t>
  </si>
  <si>
    <t>NORTHERN WEDDELL SEA; SOUTH SCOTIA RIDGE; MAGNETIC-ANOMALIES; PLATE BOUNDARY; DRAKE PASSAGE; OCEAN-BASIN</t>
  </si>
  <si>
    <t>The opening of Powell Basin was part of the regional response to N55degreesW relative plate motion of South America away from Antarctica, which led to the formation of Drake Passage during the Eocene and Oligocene. Restoration of microplates around the basin using gridded magnetic anomalies from its margins illustrates the pre-break-up continuity of the Pacific Margin Anomaly magnetic high associated with a Mesozoic arc-batholith. Newly compiled magnetic anomaly data over the Powell Basin show subdued linear seafloor spreading type anomalies. These are used, together with marginal and regional geology, to constrain the opening history of the basin. Magnetic reversal modelling suggests that slow spreading in Powell Basin probably occurred between 29.7 Ma and 21.8 Ma, following rifting of Mesozoic continental crust with associated break-up volcanism. A simple, two-phase model for the rotation of the South Orkney Microcontinent away from the Antarctic Peninsula accounts for the pattern of magnetic reversals recorded in Powell Basin, and for the structure of its margins. Crown Copyright (C) 2002 Elsevier Science B.V. All rights reserved.</t>
  </si>
  <si>
    <t>British Antarctic Survey, Cambridge CB3 0ET, England; Univ Leeds, Sch Earth Sci, Leeds LS2 9JT, W Yorkshire, England</t>
  </si>
  <si>
    <t>UK Research &amp; Innovation (UKRI); Natural Environment Research Council (NERC); NERC British Antarctic Survey; University of Leeds</t>
  </si>
  <si>
    <t>Livermore, RA (corresponding author), British Antarctic Survey, Madingley Rd, Cambridge CB3 0ET, England.</t>
  </si>
  <si>
    <t>Livermore, Roy/M-1566-2019</t>
  </si>
  <si>
    <t>Eagles, Graeme/0000-0001-5325-0810</t>
  </si>
  <si>
    <t>0025-3227</t>
  </si>
  <si>
    <t>MAR GEOL</t>
  </si>
  <si>
    <t>Mar. Geol.</t>
  </si>
  <si>
    <t>PII S0025-3227(02)00191-3</t>
  </si>
  <si>
    <t>10.1016/S0025-3227(02)00191-3</t>
  </si>
  <si>
    <t>Geosciences, Multidisciplinary; Oceanography</t>
  </si>
  <si>
    <t>Geology; Oceanography</t>
  </si>
  <si>
    <t>572AX</t>
  </si>
  <si>
    <t>WOS:000176752300002</t>
  </si>
  <si>
    <t>van Rijssel, M; Buma, AGJ</t>
  </si>
  <si>
    <t>UV radiation induced stress does not affect DMSP synthesis in the marine prymnesiophyte Emiliania huxleyi</t>
  </si>
  <si>
    <t>AQUATIC MICROBIAL ECOLOGY</t>
  </si>
  <si>
    <t>UV radiation; phytoplankton; Emiliania huxleyi; cyclobutane pyrimidine dimers; DNA; thymine dimers; dimethylsulfide; dimethylsulfoniopropionate; salinity; F-v/F-m</t>
  </si>
  <si>
    <t>INDUCED DNA-DAMAGE; ULTRAVIOLET-RADIATION; ANTARCTIC PHYTOPLANKTON; B RADIATION; ICE ALGAE; GROWTH; PHOTOSYNTHESIS; IMPACT; PHOTOINHIBITION; PHOTODAMAGE</t>
  </si>
  <si>
    <t>A possible coupling between UV radiation (UVR; 280 to 400 nm) induced stress and the production of dimethylsulfoniopropionate (DMSP), the precursor of the climate-regulating gas dimethylsulfide (DMS), was investigated in the marine prymnesiophyte Emiliania huxleyi. To this end, axenic cultures of E. huxleyi were exposed to a range of UVR doses for 2 consecutive days. During and after these treatments, growth, photosynthetic activity, cell size, DNA damage, sugar accumulation and DMSP concentrations were followed, The vulnerability of E. huxleyi for relatively low UVR doses was demonstrated by the inhibition of growth and the simultaneous occurrence of DNA damage. Also, mean cell size increased and sugars accumulated as a result of the UVR treatments. In contrast, no effect was observed on the optimal quantum yield of Photosystem II (PSII), a measure of the efficiency of photosynthesis. With increasing UVR dose, cellular DMSP content increased, However, the intrdcellular DMSP concentrations remained constant at the level typical for the applied temperature and salinity conditions, due to accompanying increase in cell size. The increased cellular DMSP content did not compensate, therefore, for the decreased growth rates, resulting in an overall decrease in the total amount of DMSP produced in the cultures. The UVR effects as induced in this study are assumed to be severe as compared with natural solar conditions, especially because high in situ UVAR (315 to 400 nm) may ameliorate UVBR damage by activation of photorepair. Yet the presented results imply that when (increased) UV(B)R causes growth rate reduction of E. huxleyi in situ, DMSP fluxes are likely to be reduced too.</t>
  </si>
  <si>
    <t>Univ Groningen, Dept Marine Biol, Ctr Ecol &amp; Evolutionary Studies, NL-9750 AA Haren, Netherlands</t>
  </si>
  <si>
    <t>University of Groningen</t>
  </si>
  <si>
    <t>Univ Groningen, Dept Marine Biol, Ctr Ecol &amp; Evolutionary Studies, POB 14, NL-9750 AA Haren, Netherlands.</t>
  </si>
  <si>
    <t>m.van.rijssel@biol.rug.nl</t>
  </si>
  <si>
    <t>Buma, Anita GJ/E-8372-2015</t>
  </si>
  <si>
    <t>INTER-RESEARCH</t>
  </si>
  <si>
    <t>OLDENDORF LUHE</t>
  </si>
  <si>
    <t>NORDBUNTE 23, D-21385 OLDENDORF LUHE, GERMANY</t>
  </si>
  <si>
    <t>0948-3055</t>
  </si>
  <si>
    <t>1616-1564</t>
  </si>
  <si>
    <t>AQUAT MICROB ECOL</t>
  </si>
  <si>
    <t>Aquat. Microb. Ecol.</t>
  </si>
  <si>
    <t>JUN 26</t>
  </si>
  <si>
    <t>10.3354/ame028167</t>
  </si>
  <si>
    <t>Ecology; Marine &amp; Freshwater Biology; Microbiology</t>
  </si>
  <si>
    <t>Environmental Sciences &amp; Ecology; Marine &amp; Freshwater Biology; Microbiology</t>
  </si>
  <si>
    <t>574DB</t>
  </si>
  <si>
    <t>Bronze, Green Submitted</t>
  </si>
  <si>
    <t>WOS:000176872200006</t>
  </si>
  <si>
    <t>Planchon, FAM; Boutron, CF; Barbante, C; Cozzi, G; Gaspari, V; Wolff, EW; Ferrari, CP; Cescon, P</t>
  </si>
  <si>
    <t>Changes in heavy metals in Antarctic snow from Coats Land since the mid-19th to the late-20th century</t>
  </si>
  <si>
    <t>EARTH AND PLANETARY SCIENCE LETTERS</t>
  </si>
  <si>
    <t>heavy metals; snow; Antarctica; time series analysis; pollution; aerosols; inductively coupled plasma methods</t>
  </si>
  <si>
    <t>LEAD CONCENTRATION; GREENLAND SNOW; ICE RECORD; LAW DOME; EMISSIONS; CADMIUM; ZINC; ATMOSPHERE; COPPER; WATER</t>
  </si>
  <si>
    <t>V, Cr, Mn, Cu, Zn, Co, Ag, Cd, Ba, Pb, Bi and U have been measured in a series of dated snow samples, covering the period from 1834 to 1990, collected at remote, low accumulation sites in Coats Land, Antarctica. They were determined by ultrasensitive inductively coupled sector field mass spectrometry in ultraclean conditions. Concentrations are found to be extremely low, down to 3 x 10(-15) g/g, for most metals, then confirming the high purity of Antarctic snow. The results show contrasting time trends for the different metals. For Mn, Co, Ba, and possibly V and Cd, no clear time trends are observed. For Cr, Cu, Zn, Ag, Pb, Bi and U, on the other hand, pronounced enhancements are observed during the recent decades. They are attributed to emissions of heavy metals to the atmosphere from human activities in Southern America, Southern Africa and Australia, especially non-ferrous metal mining and smelting in Chile, Peru, Zaire, Zambia and Australia. It shows that atmospheric pollution for heavy metals in the remote Antarctic continent is not limited to Pb and Cu, as previously thought, but also affects several other metals. It is a further indication that atmospheric pollution for heavy metals is really global. (C) 2002 Elsevier Science B.V. All rights reserved.</t>
  </si>
  <si>
    <t>CNRS, Lab Glaciol &amp; Geophys Environm, F-38402 St Martin Dheres, France; Univ Grenoble 1, Inst Univ France, Observ Sci Univers, F-38041 Grenoble, France; Univ Grenoble 1, Inst Univ France, Unite Format &amp; Rech Phys, F-38041 Grenoble, France; Univ Venice, Dept Environm Sci, I-30123 Venice, Italy; British Antarctic Survey, Cambridge CB3 0ET, England; Univ Venice, CNR, Ctr Studies Environm Chem &amp; Technol, I-30123 Venice, Italy; Univ Grenoble 1, Inst Sci &amp; Tech Grenoble, F-38041 Grenoble, France</t>
  </si>
  <si>
    <t>Centre National de la Recherche Scientifique (CNRS); Communaute Universite Grenoble Alpes; Universite Grenoble Alpes (UGA); Institut Universitaire de France; Communaute Universite Grenoble Alpes; Universite Grenoble Alpes (UGA); Institut Universitaire de France; Universita Ca Foscari Venezia; UK Research &amp; Innovation (UKRI); Natural Environment Research Council (NERC); NERC British Antarctic Survey; Universita Ca Foscari Venezia; Consiglio Nazionale delle Ricerche (CNR); Communaute Universite Grenoble Alpes; Universite Grenoble Alpes (UGA)</t>
  </si>
  <si>
    <t>CNRS, Lab Glaciol &amp; Geophys Environm, 54 Rue Moliere,Boite Postale 96, F-38402 St Martin Dheres, France.</t>
  </si>
  <si>
    <t>barbante@unive.it</t>
  </si>
  <si>
    <t>Wolff, Eric W/D-7925-2014; Frederic, Planchon A.M./A-8651-2010; Barbante, Carlo/B-3195-2011; Cozzi, Giulio/F-6473-2010; Cozzi, Giulio/G-9037-2012</t>
  </si>
  <si>
    <t>Wolff, Eric W/0000-0002-5914-8531; Cescon, Paolo/0000-0003-1836-6759; Barbante, Carlo/0000-0003-4177-2288; Cozzi, Giulio/0000-0001-8796-4176</t>
  </si>
  <si>
    <t>0012-821X</t>
  </si>
  <si>
    <t>1385-013X</t>
  </si>
  <si>
    <t>EARTH PLANET SC LETT</t>
  </si>
  <si>
    <t>Earth Planet. Sci. Lett.</t>
  </si>
  <si>
    <t>JUN 20</t>
  </si>
  <si>
    <t>PII S0012-821X(02)00612-X</t>
  </si>
  <si>
    <t>10.1016/S0012-821X(02)00612-X</t>
  </si>
  <si>
    <t>Geochemistry &amp; Geophysics</t>
  </si>
  <si>
    <t>564YL</t>
  </si>
  <si>
    <t>WOS:000176341100016</t>
  </si>
  <si>
    <t>Brachfeld, SA; Banerjee, SK; Guyodo, Y; Acton, GD</t>
  </si>
  <si>
    <t>A 13,200 year history of century- to millennial-scale paleoenvironmental change magnetically recorded in the Palmer Deep, western Antarctic Peninsula (vol 194, pg 311, 2002)</t>
  </si>
  <si>
    <t>Correction</t>
  </si>
  <si>
    <t>Ohio State Univ, Byrd Polar Res Ctr, Columbus, OH 43210 USA; Univ Minnesota, Winchell Sch Earth Sci, Inst Rock Magnetism, Minneapolis, MN USA; Univ Florida, Dept Geol Sci, Gainesville, FL USA; Texas A&amp;M Univ, Ocean Drilling Program, College Stn, TX USA</t>
  </si>
  <si>
    <t>University System of Ohio; Ohio State University; University of Minnesota System; University of Minnesota Twin Cities; State University System of Florida; University of Florida; Texas A&amp;M University System; Texas A&amp;M University College Station</t>
  </si>
  <si>
    <t>Brachfeld, SA (corresponding author), Ohio State Univ, Byrd Polar Res Ctr, 108 Scott Hall,1090 Carmack Rd, Columbus, OH 43210 USA.</t>
  </si>
  <si>
    <t>Guyodo, Yohan/G-8282-2011; guyodo, yohan/R-5079-2018</t>
  </si>
  <si>
    <t>guyodo, yohan/0000-0003-0485-5949</t>
  </si>
  <si>
    <t>PII S0012-821X(02)00622-2</t>
  </si>
  <si>
    <t>10.1016/S0012-821X(02)00622-2</t>
  </si>
  <si>
    <t>WOS:000176341100018</t>
  </si>
  <si>
    <t>Aguzzi, A; Rossi, MJ</t>
  </si>
  <si>
    <t>Heterogeneous hydrolysis and reaction of BrONO2 and Br2O on pure ice and ice doped with HBr</t>
  </si>
  <si>
    <t>JOURNAL OF PHYSICAL CHEMISTRY A</t>
  </si>
  <si>
    <t>REAL-TIME KINETICS; IONIZATION-ENERGY; ANTARCTIC OZONE; SULFURIC-ACID; TEMPERATURE; HOBR; HCL; CHEMISTRY; CHLORINE; HEAT</t>
  </si>
  <si>
    <t>The rate of uptake of bromine nitrate (BrONO2) and dibromine monoxide (Br2O) on different types of ice. such as condensed (C), bulk (B), and single-crystal ice (SC) have been investigated in a Teflon-coated Knudsen flow reactor in the temperature range 180-210 K using mass spectrometric detection. For the whole temperature range the Br2O uptake kinetics is first order in [Br2O] with a mean initial uptake coefficient of gamma(0) = 0.24 +/- 0.10, which leads to the exclusive formation of HOBr. The BrONO2 hydrolysis has been measured on B-, C-. and SC-type ice and leads to HOBr and Br2O on all types of ice. At a fixed temperature the rate law is first order in [BrONO2] with gamma approximate to 0.3 at 180 K. The observed negative temperature dependence for the heterogeneous hydrolysis of BrONO2 on pure ice leads to E-a of -2.0 +/- 0.2, -2.1 +/- 0.2, and -6.6 +/- 0.3 kcal/mol on C-, B- and SC-type ice, respectively. Despite the high reactivity of BrONO2 on ice substrates, the kinetics of interaction of BrONO2 on ice nevertheless depends on the type of ice used. No saturation of the uptake coefficient has been observed during the BrONO2 hydrolysis on ice in contrast to the ClONO2/ice system. On ice samples doped with approximately 5 x 10(16) molecules HBr per cm(3) the kinetics of the interaction of BrONO2 with HBr leads to an uptake coefficient similar to that for BrONO2 hydrolysis. The interaction of BrONO2 with HBr occurs via the hydrolysis of BrONO2 to HNO3 and HOBr where the latter reacts with HBr in a fast secondary reaction to produce Br-2 with E-a = -1.2 +/- 0.2 kcal/mol.</t>
  </si>
  <si>
    <t>Ecole Polytech Fed Lausanne, Lab Pollut Atmospher, LPA, EPFL, CH-1015 Lausanne, Switzerland</t>
  </si>
  <si>
    <t>Swiss Federal Institutes of Technology Domain; Ecole Polytechnique Federale de Lausanne</t>
  </si>
  <si>
    <t>Ecole Polytech Fed Lausanne, Lab Pollut Atmospher, LPA, EPFL, CH-1015 Lausanne, Switzerland.</t>
  </si>
  <si>
    <t>michel.rossi@epfl.ch</t>
  </si>
  <si>
    <t>Aguzzi, Adriano/A-3351-2008; ROSSI, Michel J./C-7878-2013</t>
  </si>
  <si>
    <t>ROSSI, Michel J./0000-0003-3504-695X</t>
  </si>
  <si>
    <t>AMER CHEMICAL SOC</t>
  </si>
  <si>
    <t>1155 16TH ST, NW, WASHINGTON, DC 20036 USA</t>
  </si>
  <si>
    <t>1089-5639</t>
  </si>
  <si>
    <t>1520-5215</t>
  </si>
  <si>
    <t>J PHYS CHEM A</t>
  </si>
  <si>
    <t>J. Phys. Chem. A</t>
  </si>
  <si>
    <t>10.1021/jp014383e</t>
  </si>
  <si>
    <t>Chemistry, Physical; Physics, Atomic, Molecular &amp; Chemical</t>
  </si>
  <si>
    <t>Chemistry; Physics</t>
  </si>
  <si>
    <t>563BX</t>
  </si>
  <si>
    <t>WOS:000176235000016</t>
  </si>
  <si>
    <t>Brzezinski, MA; Pride, CJ; Franck, VM; Sigman, DM; Sarmiento, JL; Matsumoto, K; Gruber, N; Rau, GH; Coale, KH</t>
  </si>
  <si>
    <t>A switch from Si(OH)4 to NO3- depletion in the glacial Southern Ocean -: art. no. 1564</t>
  </si>
  <si>
    <t>GEOPHYSICAL RESEARCH LETTERS</t>
  </si>
  <si>
    <t>PHYTOPLANKTON BLOOM; IRON; PACIFIC; CO2; DIATOMS; PRESERVATION; PRODUCTIVITY; CONSUMPTION; SILICA; GROWTH</t>
  </si>
  <si>
    <t>[1] Phytoplankton in the Antarctic deplete silicic acid (Si(OH)(4))to a far greater extent than they do nitrate (NO3-). This pattern can be reversed by the addition of iron which dramatically lowers diatom Si(OH)(4):NO3- uptake ratios. Higher iron supply during glacial times would thus drive the Antarctic towards NO3- depletion with excess Si(OH)(4) remaining in surface waters. New delta(30)Si and delta(15)N records from Antarctic sediments confirm diminished Si(OH)(4) use and enhanced NO3- depletion during the last three glaciations. The present low-Si(OH)(4) water is transported northward to at least the subtropics. We postulate that the glacial high-Si(OH)(4) water similarly may have been transported to the subtropics and beyond. This input of Si(OH)(4) may have caused diatoms to displace coccolithophores at low latitudes, weakening the carbonate pump and increasing the depth of organic matter remineralization. These effects may have lowered glacial atmospheric pCO(2) by as much as 60 ppm.</t>
  </si>
  <si>
    <t>Univ Calif Santa Barbara, Dept Ecol Evolut &amp; Marine Biol, Santa Barbara, CA 93106 USA; Univ Calif Santa Barbara, Inst Marine Sci, Santa Barbara, CA 93106 USA; Princeton Univ, Dept Geosci, Princeton, NJ 08544 USA; Princeton Univ, Atmospher &amp; Ocean Sci Program, Princeton, NJ 08544 USA; Univ Calif Los Angeles, Inst Geophys &amp; Planetary Phys, Los Angeles, CA 90024 USA; Univ Calif Los Angeles, Dept Atmospher Sci, Los Angeles, CA 90024 USA; Univ Calif Santa Cruz, Inst Marine Sci, Santa Cruz, CA 95064 USA; Moss Landing Marine Lab, Moss Landing, CA USA</t>
  </si>
  <si>
    <t>University of California System; University of California Santa Barbara; University of California System; University of California Santa Barbara; Princeton University; Princeton University; National Oceanic Atmospheric Admin (NOAA) - USA; University of California System; University of California Los Angeles; University of California System; University of California Los Angeles; University of California System; University of California Santa Cruz; Moss Landing Marine Laboratories</t>
  </si>
  <si>
    <t>Univ Calif Santa Barbara, Dept Ecol Evolut &amp; Marine Biol, Santa Barbara, CA 93106 USA.</t>
  </si>
  <si>
    <t>Gruber, Nicolas/B-7013-2009; Sigman, Daniel M./A-2649-2008; Sigman, Daniel M./IYJ-2613-2023; Matsumoto, Katsumi/X-3706-2018</t>
  </si>
  <si>
    <t>Gruber, Nicolas/0000-0002-2085-2310; Sigman, Daniel M./0000-0002-7923-1973; Matsumoto, Katsumi/0000-0002-5832-9592</t>
  </si>
  <si>
    <t>0094-8276</t>
  </si>
  <si>
    <t>1944-8007</t>
  </si>
  <si>
    <t>GEOPHYS RES LETT</t>
  </si>
  <si>
    <t>Geophys. Res. Lett.</t>
  </si>
  <si>
    <t>JUN 15</t>
  </si>
  <si>
    <t>10.1029/2001GL014349</t>
  </si>
  <si>
    <t>Geosciences, Multidisciplinary</t>
  </si>
  <si>
    <t>610MP</t>
  </si>
  <si>
    <t>WOS:000178964100059</t>
  </si>
  <si>
    <t>Fricker, HA; Padman, L</t>
  </si>
  <si>
    <t>Tides on Filchner-Ronne Ice Shelf from ERS radar altimetry</t>
  </si>
  <si>
    <t>OCEAN TIDES; WEDDELL SEA; ANTARCTICA; INTERFEROMETRY; MODELS</t>
  </si>
  <si>
    <t>[1] We use harmonic analysis of 8 years of ERS satellite radar altimeter (RA) data at orbital crossovers to retrieve complex amplitude (amplitude and phase) coefficients for several major tidal harmonics over the Filchner-Ronne Ice Shelf (FRIS), Antarctica. We describe a method for estimating the accuracy of this method, which ranges from similar to2 to 8 cm per harmonic. A comparison between M-2 complex amplitude from a recent ocean model and from our ERS RA analyses identifies two regions of the FRIS where the RA data are inconsistent with the model. In both regions the differences can be attributed to incorrect specification of the grounding line location in the model. Our study demonstrates the value of ERS RA data in Antarctic ice shelf tide modeling, and the potential for future altimeter satellites with high polar orbits to contribute to the definition of global tide height variations.</t>
  </si>
  <si>
    <t>Univ Calif San Diego, Scripps Inst Oceanog, Inst Geophys &amp; Planetary Phys, La Jolla, CA 92093 USA</t>
  </si>
  <si>
    <t>University of California System; University of California San Diego; Scripps Institution of Oceanography</t>
  </si>
  <si>
    <t>Fricker, HA (corresponding author), Univ Calif San Diego, Scripps Inst Oceanog, Inst Geophys &amp; Planetary Phys, La Jolla, CA 92093 USA.</t>
  </si>
  <si>
    <t>Padman, Laurence/AAH-3808-2021</t>
  </si>
  <si>
    <t>Padman, Laurence/0000-0003-2010-642X; Fricker, Helen Amanda/0000-0002-0921-1432</t>
  </si>
  <si>
    <t>10.1029/2001GL014175</t>
  </si>
  <si>
    <t>WOS:000178964100001</t>
  </si>
  <si>
    <t>Hutterli, MA; Bales, RC; McConnell, JR; Stewart, RW</t>
  </si>
  <si>
    <t>HCHO in Antarctic snow: Preservation in ice cores and air-snow exchange (vol 29, 10.1029/2001GL014256, 2002)</t>
  </si>
  <si>
    <t>10.1029/2002GL015583</t>
  </si>
  <si>
    <t>WOS:000178964100036</t>
  </si>
  <si>
    <t>Molodkov, AN; Bolikhovskaya, NS</t>
  </si>
  <si>
    <t>Eustatic sea-level and climate changes over the last 600 ka as derived from mollusc-based ESR-chronostratigraphy and pollen evidence in Northern Eurasia</t>
  </si>
  <si>
    <t>Inaugural Meeting of the IGCP on Coastal Environmental Change During Sea-Level Highstands</t>
  </si>
  <si>
    <t>NOV 09-12, 1999</t>
  </si>
  <si>
    <t>UNIV HAWAII, HONOLULU, HI</t>
  </si>
  <si>
    <t>UNIV HAWAII</t>
  </si>
  <si>
    <t>ESR-dating; palynological analysis; chronostratigraphy; Mid-Late Pleistocene; northern Eurasia; time scale; palaeoclimate</t>
  </si>
  <si>
    <t>ELECTRON-SPIN-RESONANCE; ANTARCTIC ICE; MIDDLE PLEISTOCENE; SHELLS; DEGLACIATION; DEPOSITS; BERMUDA; MARINE; LONG; HEMISPHERE</t>
  </si>
  <si>
    <t>We reconstruct and correlate palaeoclimatic events and deposits from shelf, glacial, periglacial, and extraglacial zones of northern Eurasia over the last 600,000 years. The chronostratigraphical correlation of identified palaeoenvironmental and sealevel events and corresponding horizons is based on electron spin resonance (ESR) analysis of subfossil mollusc skeletal remains from marine, freshwater and Acheulian-bearing cave-site deposits. Over 230 shell samples from more than 40 sites along the continental margin of Eurasian north, in the Black and Caspian sea basins and terrestrial shells from a Lower Palaeolithic cavesite in the Northern Caucasus were dated via ESR to produce a late Quaternary geochronology, The Pleistocene composite section of the loess-palaeosoil formation includes two reference sections-Likhvin and Axapovichi-from the centre of the East-European plain, The palyno-chronostratigraphic record is interpreted as the product of six warm-climate/high sea-level events including the current interglacial, and six glacial events. They are presented either as complete climatic rhythms of glacial and interglacial rank, or by considerable portions of climatic-phytocoenotic phases constituents of the rhythm. The full-interglacial conditions are centred at about 580, 400, 310, 220 and between 145-70 calendar ka. A broad correspondence between long palynological sequence, directly ESR-dated warm-climate-related events and other palaeoenvironmental records described in the literature has been noted for 11 upper oxygen isotope stages (11 to 1). The results obtained in this study exemplify the potential of integrated chrono-climatostratigraphic sequences in linking marine and terrestrial palaeoclimate records that may eventually span the whole Brunhes chron. (C) 2002 Elsevier Science B.V. All rights reserved.</t>
  </si>
  <si>
    <t>Tallinn Univ Technol, Inst Geol, EE-10413 Tallinn, Estonia; Moscow MV Lomonosov State Univ, Dept Geog, Moscow 119899, Russia</t>
  </si>
  <si>
    <t>Tallinn University of Technology; Lomonosov Moscow State University</t>
  </si>
  <si>
    <t>Tallinn Univ Technol, Inst Geol, 7 Estonia Blvd, EE-10413 Tallinn, Estonia.</t>
  </si>
  <si>
    <t>molodkov@gi.ee; nbolikh@chem.geol.msu.su</t>
  </si>
  <si>
    <t>Bolikhovskaya, Nataliya S./L-7904-2015</t>
  </si>
  <si>
    <t>PII S0037-0738(01)00275-5</t>
  </si>
  <si>
    <t>10.1016/S0037-0738(01)00275-5</t>
  </si>
  <si>
    <t>564JA</t>
  </si>
  <si>
    <t>WOS:000176310200013</t>
  </si>
  <si>
    <t>Rignot, E; Jacobs, SS</t>
  </si>
  <si>
    <t>Rapid bottom melting widespread near Antarctic ice sheet grounding lines</t>
  </si>
  <si>
    <t>SCIENCE</t>
  </si>
  <si>
    <t>RADAR INTERFEROMETRY; SHELF; GLACIER; CIRCULATION; DISCHARGE; GREENLAND; BENEATH; ISLAND; OCEAN</t>
  </si>
  <si>
    <t>As continental ice from Antarctica reaches the grounding tine and begins to float, its underside melts into the ocean. Results obtained with satellite radar interferometry reveal that bottom melt rates experienced by large outlet glaciers near their grounding lines are far higher than generally assumed. The melting rate is positively correlated with thermal forcing, increasing by 1 meter per year for each 0.1degreesC rise in ocean temperature. Where deep water has direct access to grounding lines, glaciers and ice shelves are vulnerable to ongoing increases in ocean temperature.</t>
  </si>
  <si>
    <t>CALTECH, Jet Prop Lab, Pasadena, CA 91109 USA; Columbia Univ, Lamont Doherty Earth Observ, Palisades, NY 10964 USA</t>
  </si>
  <si>
    <t>California Institute of Technology; National Aeronautics &amp; Space Administration (NASA); NASA Jet Propulsion Laboratory (JPL); Columbia University</t>
  </si>
  <si>
    <t>CALTECH, Jet Prop Lab, MAil Stop 300-235, Pasadena, CA 91109 USA.</t>
  </si>
  <si>
    <t>eric@adelie.jpl.nasa.gov; sjacobs@ldeo.columbia.edu</t>
  </si>
  <si>
    <t>Rignot, Eric/A-4560-2014</t>
  </si>
  <si>
    <t>Rignot, Eric/0000-0002-3366-0481</t>
  </si>
  <si>
    <t>AMER ASSOC ADVANCEMENT SCIENCE</t>
  </si>
  <si>
    <t>1200 NEW YORK AVE, NW, WASHINGTON, DC 20005 USA</t>
  </si>
  <si>
    <t>0036-8075</t>
  </si>
  <si>
    <t>1095-9203</t>
  </si>
  <si>
    <t>Science</t>
  </si>
  <si>
    <t>JUN 14</t>
  </si>
  <si>
    <t>10.1126/science.1070942</t>
  </si>
  <si>
    <t>Multidisciplinary Sciences</t>
  </si>
  <si>
    <t>Science &amp; Technology - Other Topics</t>
  </si>
  <si>
    <t>563UD</t>
  </si>
  <si>
    <t>Green Submitted</t>
  </si>
  <si>
    <t>WOS:000176273300051</t>
  </si>
  <si>
    <t>Price, PB; Nagornov, OV; Bay, R; Chirkin, D; He, YD; Miocinovic, P; Richards, A; Woschnagg, K; Koci, B; Zagorodnov, V</t>
  </si>
  <si>
    <t>Temperature profile for glacial ice at the South Pole: Implications for life in a nearby subglacial lake</t>
  </si>
  <si>
    <t>PROCEEDINGS OF THE NATIONAL ACADEMY OF SCIENCES OF THE UNITED STATES OF AMERICA</t>
  </si>
  <si>
    <t>DEEP; WATER; MODEL; AGE</t>
  </si>
  <si>
    <t>Airborne radar has detected approximate to100 lakes under the Antarctic ice cap, the largest of which is Lake Vostok. International planning is underway to search in Lake Vostok for microbial life that may have evolved in isolation from surface life for millions of years. It is thought, however, that the lakes may be hydraulically interconnected. If so, unsterile drilling would contaminate not just one but many of them. Here we report measurements of temperature vs. depth down to 2,345 m in ice at the South Pole, within 10 km from a subglacial lake seen by airborne radar profiling. We infer a temperature at the 2,810-m deep base of the South Pole ice and at the lake of -9 degreesC, which is 7degreesC below the pressure-induced melting temperature of freshwater ice. To produce the strong radar signal, the frozen lake must consist of a mix of sediment and ice in a flat bed, formed before permanent Antarctic glaciation. it may, like Siberian and Antarctic permafrost, be rich in microbial life. Because of its hydraulic isolation, proximity to South Pole Station infrastructure, and analog to a Martian polar cap, it is an ideal place to test a sterile drill before risking contamination of Lake Vostok. From the semiempirical expression for strain rate vs. shear stress, we estimate shear vs. depth and show that the IceCube neutrino observatory will be able to map the three-dimensional ice-flow field within a larger volume (0.5 km(3)) and at lower temperatures (-20degreesC to -35degreesC) than has heretofore been possible.</t>
  </si>
  <si>
    <t>Univ Calif Berkeley, Dept Phys, Berkeley, CA 94720 USA; Moscow Engn Phys Inst, Moscow 115409, Russia; Rosetta Inpharmat, Kirkland, WA 98034 USA; Indigo Syst Corp, Santa Barbara, CA 93111 USA; Univ Wisconsin, Space Sci &amp; Engn Lab, Madison, WI 53706 USA; Ohio State Univ, Byrd Polar Res Ctr, Columbus, OH 43210 USA</t>
  </si>
  <si>
    <t>University of California System; University of California Berkeley; National Research Nuclear University MEPhI (Moscow Engineering Physics Institute); Merck &amp; Company; University of Wisconsin System; University of Wisconsin Madison; University System of Ohio; Ohio State University</t>
  </si>
  <si>
    <t>Univ Calif Berkeley, Dept Phys, Berkeley, CA 94720 USA.</t>
  </si>
  <si>
    <t>bprice@uclink4.berkeley.edu</t>
  </si>
  <si>
    <t>Nagornov, Oleg/JFL-0583-2023</t>
  </si>
  <si>
    <t>Nagornov, Oleg/0000-0003-1355-788X</t>
  </si>
  <si>
    <t>NATL ACAD SCIENCES</t>
  </si>
  <si>
    <t>2101 CONSTITUTION AVE NW, WASHINGTON, DC 20418 USA</t>
  </si>
  <si>
    <t>0027-8424</t>
  </si>
  <si>
    <t>P NATL ACAD SCI USA</t>
  </si>
  <si>
    <t>Proc. Natl. Acad. Sci. U. S. A.</t>
  </si>
  <si>
    <t>JUN 11</t>
  </si>
  <si>
    <t>10.1073/pnas.082238999</t>
  </si>
  <si>
    <t>562UQ</t>
  </si>
  <si>
    <t>WOS:000176217700010</t>
  </si>
  <si>
    <t>Briais, A; Aslanian, D; Géli, L; Ondréas, H</t>
  </si>
  <si>
    <t>Analysis of propagators along the Pacific-Antarctic Ridge:: evidence for triggering by kinematic changes</t>
  </si>
  <si>
    <t>mid-ocean ridges; propagation; sea-floor spreading; rates; kinematics</t>
  </si>
  <si>
    <t>95.5-DEGREES W PROPAGATOR; MID-ATLANTIC RIDGE; SOUTHWEST PACIFIC; RIFT PROPAGATION; MIDOCEAN RIDGES; SPREADING RIDGE; PLATE BOUNDARY; TRANSFORM ZONE; FRACTURE-ZONES; EVOLUTION</t>
  </si>
  <si>
    <t>We analyze the structure and evolution of two propagators along the Pacific-Antarctic Ridge (PAR) that we surveyed during the Pacantarctic cruise of the N/O L'Atalante. A large propagator at 63degrees30'S, 167degreesW shows a N50degreesE-trending segment of the PAR propagating southwestward, while the adjacent, N45degreesE-trending segment retreats. The propagating and doomed ridges are offset by about 43 kin. They both curve into the offset to define an overlap zone about 25 kin long. The inner pseudofault is juxtaposed to a series of E-W-trending ridges inferred to represent the failed axes. Their direction and arrangement suggest an evolution as an overlapping propagator with cyclic rift failure. The pseudofaults are 35 +/- 5degrees oblique to the propagating ridge, which implies a rate of propagation of 44 +/- 8 mm/yr, using a 62 mm/yr full spreading rate, comparable to that of other propagators with similar morphology. The age of the initiation of the propagation from the Heirtzler fracture zone is estimated to be 5-6 Ma, which coincides with the age of a clockwise change in spreading direction. A second, smaller, southwestward propagator is observed northeast of the major one, at 63degrees15'S, 165degrees10'W, with a morphology very similar to that of the larger one. It is inferred to have started near I Ma, again at the time of a clockwise change in spreading direction along the PAR. These two propagators are likely to have evolved from extensional relay zones which developed within the Heirtzler transform fault (TF) valley following clockwise changes in spreading direction. The present-day axial discontinuity is less than 40 km in offset and may not be a TF anymore. The development of propagators in this area of the PAR appears to be triggered by kinematic changes rather than by thermal gradients along the ridge. Other propagators that have left similar signatures on the flanks of the PAR, appear to have developed at similar spreading rates near 50-60 mm/yr full rate, as a result of kinematic changes. (C) 2002 Elsevier Science B.V. All rights reserved.</t>
  </si>
  <si>
    <t>Observ Midi Pyrenees, CNRS UMR 5566, LEGOS GRGS, F-31401 Toulouse 4, France; IFREMER, Dept Geosci Marines, F-29280 Plouzane, France</t>
  </si>
  <si>
    <t>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 Ifremer</t>
  </si>
  <si>
    <t>Briais, A (corresponding author), Observ Midi Pyrenees, CNRS UMR 5566, LEGOS GRGS, 18 Ave E Belin, F-31401 Toulouse 4, France.</t>
  </si>
  <si>
    <t>anne.briais@cnes.fr</t>
  </si>
  <si>
    <t>Aslanian, Daniel/JWA-0851-2024; Briais, Anne/I-1492-2017</t>
  </si>
  <si>
    <t>Aslanian, Daniel/0000-0002-9394-606X; Briais, Anne/0000-0002-0040-6348; Geli, Louis/0000-0001-7049-4577</t>
  </si>
  <si>
    <t>JUN 10</t>
  </si>
  <si>
    <t>PII S0012-821X(02)00567-8</t>
  </si>
  <si>
    <t>10.1016/S0012-821X(02)00567-8</t>
  </si>
  <si>
    <t>564BC</t>
  </si>
  <si>
    <t>WOS:000176293300012</t>
  </si>
  <si>
    <t>Zdzitowiecki, K</t>
  </si>
  <si>
    <t>Occurrence of Digenea in fishes of the family Nototheniidae in the Weddell Sea</t>
  </si>
  <si>
    <t>ACTA PARASITOLOGICA</t>
  </si>
  <si>
    <t>Digenea; diversity; fish; Nototheniidae; Weddell Sea; Antarctica</t>
  </si>
  <si>
    <t>MCMURDO SOUND; PARASITES; LEPOCREADIIDAE; NEOLEPIDAPEDON; OPECOELIDAE; ANTARCTICA</t>
  </si>
  <si>
    <t>In total, 11 digenean species, Macvicaria georgiana, M. microtestis, Helicometra rakusai, Lepidapedon balgueriasi, L. garrardi, Neolepidapedon trematomi, Derogenes johnstoni, Gonocerca phycidis, Genolinea bowersi, Elytrophalloides oatesi and Glomericirrus macrouri, were found in the alimentary tract of fishes of the family Nototheniidae in the Weddell Sea. The pelagic fish, Aethotaxis mitopteryx, was free of Digenea; eight benthic and bentho-pelagic species of the genus Trematomus were infected. The highest level of the infection was found for T. loennbergi (diversity of parasites - 10 species, prevalence 76%, intensity up to 23 specimens, mean abundance 5.00). The total number of digenean species occurring in Nototheniidae in subcontinental waters and off the South Shetland Islands was found to be 21. The diversity of parasites in the Weddell Sea (11) was similar to those in three other areas, off the South Shetland Islands (12), off Adelie Land (11) and in the Ross Sea (12), but the level of infection in the Weddell Sea was much lower, especially much lower than in the South Shetland Islands area. It is probably related to the lack of shallow sub-coastal waters in the Weddell Sea (presence of shelf glaciers). Four digenean species are probably endemic for the entire Eastern Antarctica, whereas one endemic Antarctic species, M. georgiana, absent in other areas of the Eastern Antarctica, is the dominant species in both the Weddell Sea and the South Shetland Islands areas.</t>
  </si>
  <si>
    <t>Polish Acad Sci, W Stefanski Inst Parasitol, PL-00818 Warsaw, Poland; Polish Acad Sci, Dept Antarctic Biol, PL-02141 Warsaw, Poland</t>
  </si>
  <si>
    <t>Polish Academy of Sciences; Polish Academy of Sciences</t>
  </si>
  <si>
    <t>Zdzitowiecki, K (corresponding author), Polish Acad Sci, W Stefanski Inst Parasitol, Twarda 51-55, PL-00818 Warsaw, Poland.</t>
  </si>
  <si>
    <t>WITOLD STEFANSKI INST PARASITOLOGY</t>
  </si>
  <si>
    <t>WARSAW</t>
  </si>
  <si>
    <t>TWARDA 51/55, 00-818 WARSAW, POLAND</t>
  </si>
  <si>
    <t>1230-2821</t>
  </si>
  <si>
    <t>ACTA PARASITOL</t>
  </si>
  <si>
    <t>Acta Parasitolog.</t>
  </si>
  <si>
    <t>JUN</t>
  </si>
  <si>
    <t>Parasitology; Veterinary Sciences; Zoology</t>
  </si>
  <si>
    <t>577RW</t>
  </si>
  <si>
    <t>WOS:000177076400007</t>
  </si>
  <si>
    <t>Occurrence of Digenea in fishes of the family Channichthyidae in the Weddell Sea and other sub-continental areas of the Antarctica</t>
  </si>
  <si>
    <t>Digenea; diversity; fishes; Channichthyidae; Weddell Sea; Antarctica</t>
  </si>
  <si>
    <t>As a result of the examination in the Weddell Sea of 59 channichthyid fishes belonging to six species, only three fish specimens of two species, Chionodraco hamatus (one of 20) and Cryodraco antarcticus (two of seven), were found to be infected with Digenea. Three digenean species, Macvicaria georgiana, Derogenes johnstoni and Glomericirrus macrouri, were recognized. The infection was extremely low - one or two parasites in each infected fish. All these digenean species are more abundant in the Weddell Sea in other fishes. Results were compared with literature data for three other Antarctic areas, the environs of Adelie Land, the South Shetland Islands and the Ross Sea (off Terra Nova Bay). Channichthyidae are much more highly infected in these areas and with higher diversity of parasites - in total 12 species. The low infection of channichthyids in the Weddell Sea is probably associated with the presence of shelf glaciers (instead of a sub-coastal environment) and the feeding of these fishes mainly on pelagic organisms. No one digenean species is specific for Channichthyidae, but in areas others than the Weddell Sea Channichthyidae are important hosts of eight digenean species.</t>
  </si>
  <si>
    <t>WOS:000177076400008</t>
  </si>
  <si>
    <t>Smith, BD; Engelhardt, BE; Mutz, DH</t>
  </si>
  <si>
    <t>The RADARSAT-MAMM automated mission planner</t>
  </si>
  <si>
    <t>AI MAGAZINE</t>
  </si>
  <si>
    <t>14th Innovative Applications of Artificial Intelligence Conference (IAAI-2001)</t>
  </si>
  <si>
    <t>AUG 07-09, 2001</t>
  </si>
  <si>
    <t>SEATTLE, WASHINGTON</t>
  </si>
  <si>
    <t>The Modified Antarctic Mapping Mission (MAMM) was conducted from September to November 2000 onboard RADARSAT. The mission plan consisted of more than 2400 synthetic aperture radar data acquisitions of Antarctica that achieved the scientific objectives and obeyed RADARSAT's resource and operational constraints. Mission planning is a time- and knowledge-intensive effort. It required over a workyear to manually develop a comparable plan for AMM-1, the precursor mission to MAMM. This article describes the design and use of the automated mission planning system for MAMM, which dramatically reduced mission-planning costs to just a few workweeks and enabled rapid generation of what-if scenarios for evaluating alternative mission designs.</t>
  </si>
  <si>
    <t>Jet Propuls Lab, Autonomy Technol Program, Pasadena, CA 91109 USA; Univ Calif Berkeley, Berkeley, CA 94720 USA</t>
  </si>
  <si>
    <t>National Aeronautics &amp; Space Administration (NASA); NASA Jet Propulsion Laboratory (JPL); University of California System; University of California Berkeley</t>
  </si>
  <si>
    <t>Smith, BD (corresponding author), Jet Propuls Lab, Autonomy Technol Program, Pasadena, CA 91109 USA.</t>
  </si>
  <si>
    <t>AMER ASSOC ARTIFICIAL INTELL</t>
  </si>
  <si>
    <t>MENLO PK</t>
  </si>
  <si>
    <t>445 BURGESS DRIVE, MENLO PK, CA 94025-3496 USA</t>
  </si>
  <si>
    <t>0738-4602</t>
  </si>
  <si>
    <t>AI MAG</t>
  </si>
  <si>
    <t>AI Mag.</t>
  </si>
  <si>
    <t>SUM</t>
  </si>
  <si>
    <t>Computer Science, Artificial Intelligence</t>
  </si>
  <si>
    <t>Conference Proceedings Citation Index - Science (CPCI-S); Science Citation Index Expanded (SCI-EXPANDED)</t>
  </si>
  <si>
    <t>Computer Science</t>
  </si>
  <si>
    <t>633NB</t>
  </si>
  <si>
    <t>WOS:000180288400003</t>
  </si>
  <si>
    <t>Walton, DWH</t>
  </si>
  <si>
    <t>How do we know that the Antarctic environment is fine?</t>
  </si>
  <si>
    <t>ANTARCTIC SCIENCE</t>
  </si>
  <si>
    <t>Editorial Material</t>
  </si>
  <si>
    <t>Walton, David/0000-0002-7103-4043</t>
  </si>
  <si>
    <t>CAMBRIDGE UNIV PRESS</t>
  </si>
  <si>
    <t>40 WEST 20TH ST, NEW YORK, NY 10011-4221 USA</t>
  </si>
  <si>
    <t>0954-1020</t>
  </si>
  <si>
    <t>ANTARCT SCI</t>
  </si>
  <si>
    <t>Antarct. Sci.</t>
  </si>
  <si>
    <t>10.1017/S0954102002000652</t>
  </si>
  <si>
    <t>Environmental Sciences; Geography, Physical; Geosciences, Multidisciplinary</t>
  </si>
  <si>
    <t>Environmental Sciences &amp; Ecology; Physical Geography; Geology</t>
  </si>
  <si>
    <t>564LD</t>
  </si>
  <si>
    <t>WOS:000176315100001</t>
  </si>
  <si>
    <t>Ferguson, JWH; Bester, MN</t>
  </si>
  <si>
    <t>The treatment of spatial autocorrelation in biological surveys: the case of line transect surveys</t>
  </si>
  <si>
    <t>aerial surveys; Antarctica; distance sampling; seals; statistical analysis</t>
  </si>
  <si>
    <t>Marked spatial autocorrelation was encountered in an extensive data set on Antarctic seal densities as well as Antarctic pack ice characteristics. Whilst the methodology of measuring spatial autocorrelation is well developed, there is no established infrastructure for statistical inference in terms of correlation analysis or ANOVA. We survey the literature that deals with these problems, as well as some of the approaches that have been proposed for taking autocorrelation into account in inferential statistics. We apply these approaches to a data set comprising Antarctic pack ice seal counts as well as a few environmental measures. In contrast to the predictions from the existing literature, nonlinear estimation suggested that Pearson's r substantially overestimates the true correlation between seal densities and environmental variables. When compared to spatially adjusted analysis of variance, conventional ANOVA that compared seal densities or pack ice characteristics in different areas overestimated the degree of difference between these areas in proportion to the degree of spatial autocorrelation of the particular data set. In our case, the effects of spatial autocorrelation were not neutralised by treating entire transects as single points. These results emphasise the need for a methodology that takes spatial autocorrelation into account for interpreting the spatial data on Antarctic seals collected during the Antarctic pack ice seal (APIS) program. New software written for performing these analyses is available from the senior author.</t>
  </si>
  <si>
    <t>Univ Pretoria, Mammal Res Inst, Dept Zool &amp; Entomol, ZA-0002 Pretoria, South Africa</t>
  </si>
  <si>
    <t>University of Pretoria</t>
  </si>
  <si>
    <t>Ferguson, JWH (corresponding author), Univ Pretoria, Mammal Res Inst, Dept Zool &amp; Entomol, ZA-0002 Pretoria, South Africa.</t>
  </si>
  <si>
    <t>Bester, Marthán N/E-5387-2010; Ferguson, Jan/A-5598-2011</t>
  </si>
  <si>
    <t>10.1017/S0954102002000664</t>
  </si>
  <si>
    <t>WOS:000176315100002</t>
  </si>
  <si>
    <t>Bester, MN; Ferguson, JWH; Jonker, FC</t>
  </si>
  <si>
    <t>Population densities of pack ice seals in the Lazarev Sea, Antarctica</t>
  </si>
  <si>
    <t>crabeater seal; leopard seal; population densities; Ross seal; seasonal change; Weddell seal</t>
  </si>
  <si>
    <t>From 15 December 1992-4 January 1993 aerial surveys of ice seals were undertaken by Puma helicopter across the pack ice off Dronning Maud Land. The 31 transects of 1/2 nautical mile (n.m.) width were flown at an elevation of 200 ft and a ground speed of 60 knots and covered 805.6 n.m.(2) of pack ice. The overall species composition of the seals was 97.8% crabeater seals, 1.67% Ross seals, 0.34% leopard seals and 0.15% Weddell seals. The density abundance of seals was 2.47 n.m.(-2) for crabeater, 0.01 n.m.(-2) for leopard, 0.004 n.m.(-2) for Weddell and 0.04 n.m.(-2) for Ross seals. Leopard seals were largely found near the outer edge of the pack, Ross seals were absent only in the outer pack, whilst Weddell seals were virtually absent in the pack ice. Present throughout, crabeater seals and Ross seals showed a statistically significant preference for the inner pack, the reasons for this being unclear.</t>
  </si>
  <si>
    <t>Bester, MN (corresponding author), Univ Pretoria, Mammal Res Inst, Dept Zool &amp; Entomol, ZA-0002 Pretoria, South Africa.</t>
  </si>
  <si>
    <t>10.1017/S0954102002000676</t>
  </si>
  <si>
    <t>WOS:000176315100003</t>
  </si>
  <si>
    <t>McMahon, C; Hindell, M; Dorr, T; Massom, RA</t>
  </si>
  <si>
    <t>Winter distribution and abundance of crabeater seals off George V Land, East Antarctica</t>
  </si>
  <si>
    <t>bathymetry; Mertz Glacier Polynya; sea ice properties; winter distribution</t>
  </si>
  <si>
    <t>CRAB-EATER SEALS; ICE; DENSITY; KRILL</t>
  </si>
  <si>
    <t>This study is the first to describe the winter distribution of crabeater seals (Lobodon carcinophagus) in East Antarctica. The study was conducted in the Mertz Glacier Polynya region from July to August 1999. In total 89 crabeater seals were seen in 26 groups which ranged in size from 1 to 35 animals (mean = 3.2). The mean observed haulout density along a 200 m wide strip transect was 0.108 seals per km(2), or 0.042 groups per km(2). Crabeater seals were not uniformly distributed in the polynya but selected areas of stable ice over shallow (&lt; 1000 m) waters. We used a generalized linear model to assess the relationship of seal distribution to the physical attributes of sea ice concentration, thickness, and ocean depth. We found that ice thickness and ocean depth were the most important determinants of seal distribution. Crabeater seals occurred in areas where the ice affords them a stable haulout platform while allowing them access to Antarctic krill that live directly beneath the ice.</t>
  </si>
  <si>
    <t>Univ Tasmania, Sch Zool, Antarctic Wildlife Res Unit, Hobart, Tas 7001, Australia; Australian Antarctic Div, Kingston, Tas 7050, Australia; Univ Tasmania, Antarct CRC, Hobart, Tas 7001, Australia</t>
  </si>
  <si>
    <t>University of Tasmania; Australian Antarctic Division; University of Tasmania</t>
  </si>
  <si>
    <t>Hindell, M (corresponding author), Univ Tasmania, Sch Zool, Antarctic Wildlife Res Unit, POB 252-05, Hobart, Tas 7001, Australia.</t>
  </si>
  <si>
    <t>Hindell, Mark A/K-1131-2013; McMahon, Clive R/D-5713-2013</t>
  </si>
  <si>
    <t>McMahon, Clive R/0000-0001-5241-8917; Hindell, Mark/0000-0002-7823-7185; Massom, Robert/0000-0003-1533-5084</t>
  </si>
  <si>
    <t>10.1017/S0954102002000688</t>
  </si>
  <si>
    <t>WOS:000176315100004</t>
  </si>
  <si>
    <t>van den Hoff, J; Burton, HR; Hindell, MA; Sumner, MD; McMahon, CR</t>
  </si>
  <si>
    <t>Migrations and foraging of juvenile southern elephant seals from Macquarie Island within CCAMLR managed areas</t>
  </si>
  <si>
    <t>fisheries management areas; foraging areas; geolocation; Mirounga leonina; ocean fronts</t>
  </si>
  <si>
    <t>MIROUNGA-LEONINA; DIVING BEHAVIOR; MARINE MAMMALS; MOVEMENTS; SQUID; IMMOBILIZATION; SURVIVAL; SEABIRDS; BIOMASS; ECOLOGY</t>
  </si>
  <si>
    <t>Twenty-three juvenile (8-14 months of age) southern elephant seals (Mirounga leonina L.) from Macquarie Island were tracked during 1993 and 1995. Migratory tracks and ocean areas with concentrated activity, presumed to be foraging grounds, were established from location data gathered by attached geolocation-time depth recorders, The seals ranged widely (811-3258 km) and foraging activity centred on oceanographic frontal systems, especially the Antarctic Polar Front and bathymetric features such as the Campbell Plateau region. The seals spent 58.6% of their sea time within managed fishery areas while the remainder was spent on the high seas, an area of unregulated fishing. The Commission for the Conservation of Antarctic Marine Living Resources (CCAMLR) areas 58.4.1, 88.2 and especially 88.1 were important and distant foraging areas for these juvenile elephant seals. From fisheries records, diet and the foraging ecology studies of the seals there appears to be little, if any, overlap or conflict between the seals and commercial fishing operations within the regulated commercial areas. However, attention is drawn to the possibility of future interactions if Southern Ocean fisheries expand or new ones commence.</t>
  </si>
  <si>
    <t>Australian Antarctic Div, Kingston, Tas 7050, Australia; Univ Tasmania, Sch Zool, Antarctic Wildlife Res Unit, Hobart, Tas 7001, Australia</t>
  </si>
  <si>
    <t>Australian Antarctic Division; University of Tasmania</t>
  </si>
  <si>
    <t>Australian Antarctic Div, Channel Highway, Kingston, Tas 7050, Australia.</t>
  </si>
  <si>
    <t>john_van@antdiv.gov.au</t>
  </si>
  <si>
    <t>Sumner, Michael D/J-3478-2013; Hindell, Mark A/C-8368-2013; Hindell, Mark A/K-1131-2013; McMahon, Clive R/D-5713-2013</t>
  </si>
  <si>
    <t>McMahon, Clive R/0000-0001-5241-8917; Sumner, Michael/0000-0002-2471-7511; Hindell, Mark/0000-0002-7823-7185</t>
  </si>
  <si>
    <t>32 AVENUE OF THE AMERICAS, NEW YORK, NY 10013-2473 USA</t>
  </si>
  <si>
    <t>1365-2079</t>
  </si>
  <si>
    <t>10.1017/S095410200200069X</t>
  </si>
  <si>
    <t>WOS:000176315100005</t>
  </si>
  <si>
    <t>Donatti, L; Fanta, E</t>
  </si>
  <si>
    <t>Influence of photoperiod on visual prey detection in the Antarctic fish Notothenia neglecta</t>
  </si>
  <si>
    <t>behaviour; feeding; Notothenioid; seasonal response; South Shetland Islands; vision</t>
  </si>
  <si>
    <t>SOUTH SHETLAND ISLANDS; POTTER COVE</t>
  </si>
  <si>
    <t>Reaction to the presence of prey, after visual stimulation, was tested in the Antarctic nototheniid fish Notothenia neglecta Nybelin under four different simulated Antarctic seasons - photoperiods of 24 hours light, 22 light/2 darkness, 12 light/12 darkness, and 24 hours darkness. Live Lepidonotothen nudifrons were used for visual stimulation, with exclusion of chemical and mechanical signals. The photoperiod showed significant correlation with the number of individuals stimulated and with the latency time of the first response to the presence of prey, but not with the number of attacks or pursuits. However, there were more pursuits in darkness than in light. Notothenia neglecta presumably perceive a large spectrum of wavelengths, because they had the shortest reaction time under red light, used to simulate darkness. The tests proved that N. neglecta are capable of detecting prey using only vision, in all seasons of the year, but that the optimal reactions occur in a photoperiod corresponding to the Antarctic autumn or spring.</t>
  </si>
  <si>
    <t>Univ Fed Parana, Dept Biol Celular, BR-81531970 Curitiba, Parana, Brazil; Univ Estadual Ctr Oeste, Dept Ciencias Biol, Guarapuava, PR, Brazil</t>
  </si>
  <si>
    <t>Universidade Federal do Parana; Universidade Estadual do Centro Oeste</t>
  </si>
  <si>
    <t>Fanta, E (corresponding author), Univ Fed Parana, Dept Biol Celular, Caixa Postal 19031, BR-81531970 Curitiba, Parana, Brazil.</t>
  </si>
  <si>
    <t>Donatti, Lucelia/E-1930-2013</t>
  </si>
  <si>
    <t>Donatti, Lucelia/0000-0002-9023-2483</t>
  </si>
  <si>
    <t>10.1017/S0954102002000706</t>
  </si>
  <si>
    <t>WOS:000176315100006</t>
  </si>
  <si>
    <t>Nel, DC; Ryan, PG; Watkins, BP</t>
  </si>
  <si>
    <t>Seabird mortality in the Patagonian toothfish longline fishery around the Prince Edward Islands, 1996-2000</t>
  </si>
  <si>
    <t>albatrosses; Dissostichus eleginoides; incidental mortality; petrels; seabirds; Southern Ocean</t>
  </si>
  <si>
    <t>SOUTHERN INDIAN-OCEAN; WANDERING ALBATROSSES; DIOMEDEA-EXULANS; MARION-ISLAND; AFRICA</t>
  </si>
  <si>
    <t>Sanctioned longline fishing for Patagonian toothfish around the Prince Edward Islands (a globally important seabird breeding site) commenced in 1996 following high levels of Illegal, Unregulated and Unreported (IUU) fishing. Independent fishery observers accompanied all but two sanctioned trips between 1996 and 2000, allowing a thorough understanding of the impact of this fishery on seabirds. Overall, white-chinned petrels Procellaria aequinoctialis were by far the most frequently killed species. However, during the first year, when lines were set during the day and night, a significant number of albatrosses (particularly grey-headed albatrosses Thalassarche chrysostoma) were also killed. Birds were caught almost exclusively during their breeding seasons and most birds killed were breeding adult males from the Prince Edward Islands. Albatrosses and giant petrels were caught almost exclusively during day sets, whereas catch rates of white-chinned petrels did not differ between day and night sets. Albatrosses were caught closer to the islands than white-chinned petrels. Most white-chinned petrel carcasses were hooked in their wings and bodies, whereas albatrosses were caught most frequently in their bills and contained large numbers of baits. Rates of seabird bycatch in the sanctioned fishery decreased from 0.19 birds per 1000 hooks to 0.034 birds per 1000 hooks during the time of this study. This was probably mainly due to stricter implementation of mitigation measures and a progressive movement farther away from the islands over the years. We estimate that the combined impact of legal and IUU longline fishing around the Prince Edward Islands over the past four years could have resulted in between 7000 and 17 000 seabird mortalities and could have had significant impacts on the breeding populations of several seabird species breeding on the Prince Edward Islands. This was mainly due to high levels of IUU fishing during 1996/97.</t>
  </si>
  <si>
    <t>Univ Cape Town, Percy Fitzpatrick Inst, ZA-7701 Rondebosch, South Africa; Dept Marine &amp; Coastal Management, ZA-8012 Rogge Bay, South Africa</t>
  </si>
  <si>
    <t>University of Cape Town</t>
  </si>
  <si>
    <t>Nel, DC (corresponding author), Univ Cape Town, Percy Fitzpatrick Inst, ZA-7701 Rondebosch, South Africa.</t>
  </si>
  <si>
    <t>Ryan, Peter/0000-0002-3356-2056</t>
  </si>
  <si>
    <t>10.1017/S0954102002000718</t>
  </si>
  <si>
    <t>WOS:000176315100007</t>
  </si>
  <si>
    <t>Siegel, V; Bergström, B; Mühlenhardt-Siegel, U; Thomasson, M</t>
  </si>
  <si>
    <t>Demography of krill in the Elephant Island area during summer 2001 and its significance for stock recruitment</t>
  </si>
  <si>
    <t>abundance; distribution; Euphausia superba; monitoring; South Shetland Islands; zooplankton</t>
  </si>
  <si>
    <t>EUPHAUSIA-SUPERBA; ANTARCTIC KRILL; VARIABILITY; PENINSULA; SEA; ICE; WEST</t>
  </si>
  <si>
    <t>A net sampling survey was carried out for krill in a standard station grid around Elephant Island during 27 January to 4 February 2001. In comparison with recent years the station grid was extended south, where a large proportion of small size classes, one-year-old juvenile krill was found. Results show a spatial separation of the juvenile krill and the spawning stock. Krill density was significantly higher than during the past years (229 krill 1000 m(-3) or 13.0 g m(-2)). The proportional recruitment index for the entire survey area for the 1999/2000 year class was R-1 = 0.573, which is among the highest values recorded during the past 20 years. The maturation index (based on the proportion of gravid stages) was G = 0.99, indicating an early initiation of the spawning season. The results indicate a turning point after a succession of years with poor recruitment success and low stock biomass. This is thought to be the first step for a successful spawning event and a later potential recruitment success of the 2000/01 year-class. The spatial extent of the station grid is discussed in the light of a representative coverage of the stock and the estimated recruitment index.</t>
  </si>
  <si>
    <t>Seafisheries Res Inst, D-22767 Hamburg, Germany; Kristineberg Marine Biol Stn, Fiskebackskil, Sweden; German Ctr Marine Biodivers, D-20146 Hamburg, Germany</t>
  </si>
  <si>
    <t>Siegel, V (corresponding author), Seafisheries Res Inst, Palmaille 9, D-22767 Hamburg, Germany.</t>
  </si>
  <si>
    <t>10.1017/S095410200200072X</t>
  </si>
  <si>
    <t>WOS:000176315100008</t>
  </si>
  <si>
    <t>León, TM</t>
  </si>
  <si>
    <t>Ammothea tibialis, a new pycnogonid from Drake Passage, Antarctica</t>
  </si>
  <si>
    <t>Univ Autonoma Barcelona, Zool Lab, E-08193 Barcelona, Spain</t>
  </si>
  <si>
    <t>Autonomous University of Barcelona</t>
  </si>
  <si>
    <t>tomas.munilla@uab.es</t>
  </si>
  <si>
    <t>10.1017/S0954102002000731</t>
  </si>
  <si>
    <t>WOS:000176315100009</t>
  </si>
  <si>
    <t>Curtis, ML</t>
  </si>
  <si>
    <t>Palaeozoic to Mesozoic polyphase deformation of the Patuxent Range, Pensacola Mountains, Antarctica</t>
  </si>
  <si>
    <t>cleavage transection; Gondwanian Orogeny; Ross Orogeny; Transantarctic Mountains</t>
  </si>
  <si>
    <t>TRANSANTARCTIC MOUNTAINS; TRANSPRESSION; OROGEN; AGE</t>
  </si>
  <si>
    <t>The Patuxent Range forms the most southerly third of the Pensacola Mountains, East Antarctica. Largely unstudied since the original geological survey work of the 1960s, the Patuxent Range was thought to expose metasediments deformed by a single Precambrian event. However, new structural data collected from two geographically separate areas in the central Patuxent Range reveal the presence of three distinct generations of structures. A synthesis of the regional geology together with new data suggests that the Patuxent Formation was mildly deformed during end Cambrian times as part of the late stage Ross Orogeny. However, the most intense deformation, although poorly constrained in age, probably occurred during the Permo-Triassic Gondwanian Orogeny. A third phase of deformation predates the intrusion of 183 Ma lamprophyre dykes and involved an inferred vertical axis rotation of the pre-existing D-1 and D-2 structures and the localized development of a spaced foliation and mesoscale folding. These D-3 structures may be the first evidence of an Early Jurassic deformation event in the Transantarctic Mountains, which correlates with the Peninsula and Rangitata I orogenies of the Antarctic Peninsula and New Zealand, respectively.</t>
  </si>
  <si>
    <t>British Antarctic Survey, NERC, Cambridge CB3 0ET, England</t>
  </si>
  <si>
    <t>UK Research &amp; Innovation (UKRI); Natural Environment Research Council (NERC); NERC British Antarctic Survey</t>
  </si>
  <si>
    <t>Curtis, ML (corresponding author), British Antarctic Survey, NERC, Madingley Rd, Cambridge CB3 0ET, England.</t>
  </si>
  <si>
    <t>Curtis, Mike/HKV-6176-2023</t>
  </si>
  <si>
    <t>10.1017/S0954102002000743</t>
  </si>
  <si>
    <t>WOS:000176315100010</t>
  </si>
  <si>
    <t>Anderson, PS</t>
  </si>
  <si>
    <t>Analysis of acoustic dot echo signature over an Antarctic ice shelf: the possible remote sensing of Antarctic petrels</t>
  </si>
  <si>
    <t>Antarctic petrel; dot echo; ice shelf; nocturnal boundary layer; polynya; Sodar</t>
  </si>
  <si>
    <t>DOPPLER SODAR; COASTAL</t>
  </si>
  <si>
    <t>Data from a monostatic acoustic radar operating at British Antarctic Survey's Halley station on a coastal Antarctic ice shelf show a band of small target echoes at an altitude of 700-1000 m during spring 1991. Statistical analysis of the echo signature show that the targets are spread more evenly in the horizontal than would be expected for a random signature, whilst the local distribution in the vertical is Gaussian. Similar echo signatures have been observed previously, and are attributed to birds, bats or insects: the Antarctic data are also consistent with bird targets, but the case is not proven. No birds have been observed directly, but at 700 in they would be barely visible to the naked eye. The nearest nesting area with suitably large numbers of birds (Antarctic petrels, Thalassoica antarctica) is a few hundred kilometres away. Estimates of velocity and target density imply that the Halley site would need to be specially favoured by the colony for their acoustic signature to be observed in such numbers, but such might be the case due to the presence of perennial coastal open water to the west of the station.</t>
  </si>
  <si>
    <t>Anderson, PS (corresponding author), British Antarctic Survey, NERC, Madingley Rd, Cambridge CB3 0ET, England.</t>
  </si>
  <si>
    <t>10.1017/S0954102002000755</t>
  </si>
  <si>
    <t>WOS:000176315100011</t>
  </si>
  <si>
    <t>Nichols, DS; Presser, KA; Olley, J; Ross, T; McMeekin, TA</t>
  </si>
  <si>
    <t>Variation of branched-chain fatty acids marks the normal physiological range for growth in Listeria monocytogenes</t>
  </si>
  <si>
    <t>APPLIED AND ENVIRONMENTAL MICROBIOLOGY</t>
  </si>
  <si>
    <t>LOW-TEMPERATURES; NISIN; BIOSYNTHESIS; BACTERIA; POSITION; SCOTT; MODEL</t>
  </si>
  <si>
    <t>The fatty acid composition of Listeria monocytogenes Scott A was determined by close-interval sampling over the entire biokinetic temperature range. There was a high degree of variation in the percentage of branched-chain fatty acids at any given temperature. The percentage of branched C-17 components increased with growth temperature in a linear manner. However, the percentages of iso-C-15:0 (i15:0) and anteiso-C-15:0 (a15:0) were well described by third-order and second-order polynomial curves, respectively. There were specific temperature regions where the proportion of branched-chain fatty acids deviated significantly from the trend established over the entire growth range. In the region from 12 to 13degreesC there were significant deviations in the percentages of both i15:0 and a15:0 together with a suggested deviation in a17:0, resulting in a significant change in the total branched-chain fatty acids. In the 31 to 33degreesC region the percentage of total branched-chain components exhibited a significant deviation. The observed perturbations in fatty acid composition occurred near the estimated boundaries of the normal physiological range for growth.</t>
  </si>
  <si>
    <t>Univ Tasmania, Sch Agr Sci, Ctr Food Safety &amp; Qual, Hobart, Tas 7001, Australia; Univ Tasmania, Antarctic CRC, Hobart, Tas 7001, Australia</t>
  </si>
  <si>
    <t>University of Tasmania; University of Tasmania</t>
  </si>
  <si>
    <t>Nichols, DS (corresponding author), Univ Tasmania, Sch Agr Sci, Ctr Food Safety &amp; Qual, GPO Box 252-54, Hobart, Tas 7001, Australia.</t>
  </si>
  <si>
    <t>Ross, Tom/0000-0001-9916-7772; Nichols, David/0000-0002-8066-3132</t>
  </si>
  <si>
    <t>AMER SOC MICROBIOLOGY</t>
  </si>
  <si>
    <t>1752 N ST NW, WASHINGTON, DC 20036-2904 USA</t>
  </si>
  <si>
    <t>0099-2240</t>
  </si>
  <si>
    <t>APPL ENVIRON MICROB</t>
  </si>
  <si>
    <t>Appl. Environ. Microbiol.</t>
  </si>
  <si>
    <t>10.1128/AEM.68.6.2809-2813.2002</t>
  </si>
  <si>
    <t>Biotechnology &amp; Applied Microbiology; Microbiology</t>
  </si>
  <si>
    <t>559MN</t>
  </si>
  <si>
    <t>WOS:000176030100024</t>
  </si>
  <si>
    <t>Alberti, G; Meyer-Rochow, VB</t>
  </si>
  <si>
    <t>Ultrastructural investigations of testes and spermiogenesis in two species of halacarid mites (Halacaridae, Actinedida, Actinotrichida):: Thalassarachna basteri from the Baltic Sea and Halacarellus thomasi from McMurdo Sound (Antarctica)</t>
  </si>
  <si>
    <t>ARTHROPOD STRUCTURE &amp; DEVELOPMENT</t>
  </si>
  <si>
    <t>acrosomal complex; aflagellate sperm; comparative spermatology; sperm aggregates; marine mites; Antarctic environment</t>
  </si>
  <si>
    <t>Testes and sperm cells of two species of halacarid mites, Thalassarachna basteri from the Baltic Sea and Halacarellus thomasi from McMurdo Sound (Antarctica), were investigated. Testes are paired structures, composed of a glandular and a germinal part. The testicular lumen is filled with a very complex secretion that contributes to sperm cell aggregates. Early spermatids of T. basteri display unusual chromatin condensation within the nucleus, but the formation of an acrosomal complex with a small acrosomal vesicle and a long acrosomal filament can be regarded as typical for the group. Tubular invaginations of the plasmalemma Occur at the cell periphery. A deep, ring-like infold divides the cell into one part containing the chromatin body and another containing mainly the invaginations and the acrosomal complex. The mature sperm cell is ovoid, aflagellate and surrounded by a distinct secretion sheath. In H. thomasi only a limited number of spermiogenesis stages were observable. Chromatin condensation was rather similar and peripheral invaginations also occurred. However, noacrosomal complex was observed in the early stages. The division of the mature sperm cells into two halves was even more pronounced in H. thomasi, since one half of the cell contained masses of convoluted structures. The same half also contained a structure that remotely resembled an acrosornal complex. The observed differences between T basteri and H. thomasi sperms Support the placing of the two halacarids in separate genera. (C) 2002 Elsevier Science Ltd. All rights reserved.</t>
  </si>
  <si>
    <t>Ernst Moritz Arndt Univ Greifswald, Zool Inst &amp; Museum, D-17489 Greifswald, Germany; Univ Oulu, Dept Biol, SF-90014 Oulu, Finland; Int Univ Bremen, Fac Sci &amp; Engn, D-28725 Bremen, Germany</t>
  </si>
  <si>
    <t>Universitat Greifswald; University of Oulu; Jacobs University</t>
  </si>
  <si>
    <t>Ernst Moritz Arndt Univ Greifswald, Zool Inst &amp; Museum, Bachstr 11-12, D-17489 Greifswald, Germany.</t>
  </si>
  <si>
    <t>alberti@rz.uni-greifswald.de</t>
  </si>
  <si>
    <t>MEYER-ROCHOW, Victor Benno/AAJ-7258-2020</t>
  </si>
  <si>
    <t>MEYER-ROCHOW, V. Benno/0000-0003-1531-9244</t>
  </si>
  <si>
    <t>ELSEVIER SCI LTD</t>
  </si>
  <si>
    <t>OXFORD</t>
  </si>
  <si>
    <t>THE BOULEVARD, LANGFORD LANE, KIDLINGTON, OXFORD OX5 1GB, OXON, ENGLAND</t>
  </si>
  <si>
    <t>1467-8039</t>
  </si>
  <si>
    <t>1873-5495</t>
  </si>
  <si>
    <t>ARTHROPOD STRUCT DEV</t>
  </si>
  <si>
    <t>Arthropod Struct. Dev.</t>
  </si>
  <si>
    <t>PII S1467-8039(02)00008-7</t>
  </si>
  <si>
    <t>10.1016/S1467-8039(02)00008-7</t>
  </si>
  <si>
    <t>Entomology</t>
  </si>
  <si>
    <t>573HB</t>
  </si>
  <si>
    <t>WOS:000176822300005</t>
  </si>
  <si>
    <t>Grainger, S; Cordero, EC</t>
  </si>
  <si>
    <t>Low ozone concentrations over Macquarie Island during 1997 - Part II: satellite ozone analysis</t>
  </si>
  <si>
    <t>AUSTRALIAN METEOROLOGICAL MAGAZINE</t>
  </si>
  <si>
    <t>Workshop on Macquaric Island Ozone Data</t>
  </si>
  <si>
    <t>JUN 13, 2000</t>
  </si>
  <si>
    <t>MACQUARIC ISL, AUSTRALIA</t>
  </si>
  <si>
    <t>LAUDER</t>
  </si>
  <si>
    <t>The year 1997 was notable for the record low ozone column densities observed between 20degreesS and 60degreesS. The Ozone Analysis System (OASYS) has been used to investigate low ozone events during 1997 at Macquarie Island (55degreesS, 159degreesE). OASYS uses satellite ozone data to generate three-dimensional ozone mixing ratio analyses. The analyses were compared with data from the Macquarie Island ozonesonde program. OASYS was able to reproduce the vertical ozone profile, although it was on average 10 to 15 per cent lower than the ozonesonde profile in the lower stratosphere. This is caused by a systematic difference between satellite and ozonesonde data, and is accentuated when the satellite data is not available. OASYS was used to examine three low ozone events at Macquarie Island in winter, spring and early summer. The winter event is dominated by vertical motion in the lower stratosphere, while the spring and early summer events are dominated by horizontal advection of low ozone either from the polar vortex, or the remnants of the Antarctic ozone hole.</t>
  </si>
  <si>
    <t>Monash Univ, Sch Math Sci, Clayton, Vic 3800, Australia</t>
  </si>
  <si>
    <t>Monash University</t>
  </si>
  <si>
    <t>Grainger, S (corresponding author), Monash Univ, Sch Math Sci, POB 28M, Clayton, Vic 3800, Australia.</t>
  </si>
  <si>
    <t>AUSTRALIAN BUREAU METEOROLOGY</t>
  </si>
  <si>
    <t>MELBOURNE</t>
  </si>
  <si>
    <t>GPO BOX 1289, MELBOURNE, VIC 3001, AUSTRALIA</t>
  </si>
  <si>
    <t>0004-9743</t>
  </si>
  <si>
    <t>AUST METEOROL MAG</t>
  </si>
  <si>
    <t>Aust. Meteorol. Mag.</t>
  </si>
  <si>
    <t>576PL</t>
  </si>
  <si>
    <t>WOS:000177013600005</t>
  </si>
  <si>
    <t>Nguyen, DH; Colvin, ME; Yeh, Y; Feeney, RE; Fink, WH</t>
  </si>
  <si>
    <t>The dynamics, structure, and conformational free energy of proline-containing antifreeze glycoprotein</t>
  </si>
  <si>
    <t>BIOPHYSICAL JOURNAL</t>
  </si>
  <si>
    <t>WINTER FLOUNDER ANTIFREEZE; POINT-DEPRESSING GLYCOPROTEINS; ICE GROWTH-INHIBITION; RELATE 2 SETS; ANTARCTIC FISH; ELECTROSTATIC INTERACTIONS; MOLECULAR MECHANICS; AQUEOUS-SOLUTIONS; NUCLEIC-ACIDS; ALPHA-HELIX</t>
  </si>
  <si>
    <t>Recent NMR studies of the solution structure of the 14-amino acid antifreeze glycoprotein AFGP-8 have concluded that the molecule lacks long-range order. The implication that an apparently unstructured molecule can still have a very precise function as a freezing inhibitor seems startling at first consideration. To gain insight into the nature of conformations and motions in AFGP-8, we have undertaken molecular dynamics simulations augmented with free energy calculations using a continuum solvation model. Starting from 10 different NMR structures, 20 ns of dynamics of AFGP were explored. The dynamics show that AFGP structure is composed of four segments, joined by very flexible pivots positioned at alanine 5, 8, and 11. The dynamics also show that the presence of prolines in this small AFGP structure facilitates the adoption of the poly-proline 11 structure as its overall conformation, although AFGP does adopt other conformations during the course of dynamics as well. The free energies calculated using a continuum solvation model show that the lowest free energy conformations, while being energetically equal, are drastically different in conformations. In other words, this AFGP molecule has many structurally distinct and energetically equal minima in its energy landscape. In addition, conformational, energetic, and hydrogen bond analyses suggest that the intramolecular hydrogen bonds between the N-acetyl group and the protein backbone are an important integral part of the overall stability of the AFGP molecule. The relevance of these findings to the mechanism of freezing inhibition is discussed.</t>
  </si>
  <si>
    <t>Univ Calif Davis, Dept Chem, Davis, CA 95616 USA; Univ Calif Davis, Dept Appl Sci, Davis, CA 95616 USA; Univ Calif Davis, Dept Food Sci &amp; Technol, Davis, CA 95616 USA; Univ Calif Davis, Dept Comp Sci, Davis, CA 95616 USA; Lawrence Livermore Natl Lab, Div Computat &amp; Syst Biol, Biol &amp; Biotechnol Res Program, Livermore, CA 94550 USA</t>
  </si>
  <si>
    <t>University of California System; University of California Davis; University of California System; University of California Davis; University of California System; University of California Davis; University of California System; University of California Davis; United States Department of Energy (DOE); Lawrence Livermore National Laboratory</t>
  </si>
  <si>
    <t>Fink, WH (corresponding author), Univ Calif Davis, Dept Chem, 1 Shields Ave, Davis, CA 95616 USA.</t>
  </si>
  <si>
    <t>BIOPHYSICAL SOCIETY</t>
  </si>
  <si>
    <t>BETHESDA</t>
  </si>
  <si>
    <t>9650 ROCKVILLE PIKE, BETHESDA, MD 20814-3998 USA</t>
  </si>
  <si>
    <t>0006-3495</t>
  </si>
  <si>
    <t>BIOPHYS J</t>
  </si>
  <si>
    <t>Biophys. J.</t>
  </si>
  <si>
    <t>10.1016/S0006-3495(02)75630-0</t>
  </si>
  <si>
    <t>Biophysics</t>
  </si>
  <si>
    <t>555PP</t>
  </si>
  <si>
    <t>Green Published, hybrid</t>
  </si>
  <si>
    <t>WOS:000175802700006</t>
  </si>
  <si>
    <t>de Freitas, CR</t>
  </si>
  <si>
    <t>Are observed changes in the concentration of carbon dioxide in the atmosphere really dangerous?</t>
  </si>
  <si>
    <t>BULLETIN OF CANADIAN PETROLEUM GEOLOGY</t>
  </si>
  <si>
    <t>Review</t>
  </si>
  <si>
    <t>SURFACE AIR-TEMPERATURE; MEDIEVAL WARM PERIOD; ANTARCTIC SEA-ICE; EQUATORIAL EAST-AFRICA; CLIMATE VARIABILITY; CO2 ENRICHMENT; GLOBAL CLIMATE; UNITED-STATES; MASS-BALANCE; DELTA-O-18 RECORD</t>
  </si>
  <si>
    <t>Statements made by the United Nations Intergovernmental Panel on Climate Change (IPCC) have been used to put pressure on governments to formulate policies in response to the perceived threat of the climate change resulting from a build up of greenhouse gases in the atmosphere. The Kyoto Protocol proposed by the United Nations calls for industrialized countries to cut greenhouse gas emissions by five percent from 1990 levels by the year 2012. The enormity of the perceived economic consequences of this has led to intense arguments between governments over the appropriateness of reduction targets. But the real reason behind the failure to agree on a global climate treaty is disagreement on tradeoffs between the economic and environmental risks involved. Contrary to the IPCC predictions, global temperature has not risen appreciably in the last 20 years. Most surface temperature data free from the influence of surrounding buildings and roads show no warming. Data from satellites support this. Sea level has been rising since the end of the last ice age, long before industrialization, but historical records show no acceleration in sea level rise in the twentieth century. Increases in carbon dioxide appear to pose no immediate danger to the planet. The gas is not a pollutant. An understanding of global warming hinges on the answers to certain key questions. Is global climate warming? If so, what part of that warming is due to human activities? How good is the evidence? What are the risks? The task of answering these questions is hindered by widespread confusion regarding key facets of global warming science. The confusion has given rise to several fallacies or misconceptions. These myths and misconceptions, and how they relate to the above questions, are explained. Although the future state of global climate is uncertain, there is no reason to believe that catastrophic change is underway. The atmosphere may warm due to human activity, but if it does, the expected change is unlikely to be much more than 1 degree Celsius in the next 100 years. Even the climate models promoted by the IPCC do not suggest that catastrophic change is occurring. They suggest that increases in greenhouse gases are likely to give rise to a warmer and wetter climate in most places; in particular, warmer nights and warmer winters. Generally, higher latitudes would warm more than lower latitudes. This means milder winters and, coupled with increased atmospheric carbon dioxide, it means a more robust biosphere with greater availability of forest, crops and vegetative ground cover. This is hardly a major threat. A more likely threat is policies that endanger economic progress. The negative effect of such policies would be far greater than any change caused by global warming. Rather than try to reduce innocuous carbon dioxide emissions, we would do better to focus on air pollution, especially those aspects that are known to damage human health.</t>
  </si>
  <si>
    <t>Univ Auckland, Sch Geog &amp; Environm Sci, Auckland 1, New Zealand</t>
  </si>
  <si>
    <t>University of Auckland</t>
  </si>
  <si>
    <t>Univ Auckland, Sch Geog &amp; Environm Sci, PB 92019, Auckland 1, New Zealand.</t>
  </si>
  <si>
    <t>CANADIAN SOC PETROLEUM GEOLOGISTS</t>
  </si>
  <si>
    <t>CALGARY</t>
  </si>
  <si>
    <t>SUITE 600, 640 - 8TH AVE SW, CALGARY, ALBERTA T2P 1G7, CANADA</t>
  </si>
  <si>
    <t>0007-4802</t>
  </si>
  <si>
    <t>B CAN PETROL GEOL</t>
  </si>
  <si>
    <t>Bull. Can. Pet. Geol.</t>
  </si>
  <si>
    <t>10.2113/50.2.297</t>
  </si>
  <si>
    <t>Energy &amp; Fuels; Engineering, Petroleum; Geosciences, Multidisciplinary</t>
  </si>
  <si>
    <t>Energy &amp; Fuels; Engineering; Geology</t>
  </si>
  <si>
    <t>623ET</t>
  </si>
  <si>
    <t>WOS:000179690900005</t>
  </si>
  <si>
    <t>Figa-Saldaña, J; Wilson, JJW; Attema, E; Gelsthorpe, R; Drinkwater, MR; Stoffelen, A</t>
  </si>
  <si>
    <t>The advanced scatterometer (ASCAT) on the meteorological operational (MetOp) platform:: A follow on for European wind scatterometers</t>
  </si>
  <si>
    <t>CANADIAN JOURNAL OF REMOTE SENSING</t>
  </si>
  <si>
    <t>ANTARCTIC SEA-ICE; ERS SCATTEROMETER; SOIL-MOISTURE; PASSIVE-MICROWAVE; WEATHER ANALYSIS; WEDDELL-SEA; BACKSCATTER; RADAR; OCEAN; ASSIMILATION</t>
  </si>
  <si>
    <t>The scatterometers on board the European remote sensing (ERS) satellites have proven their usefulness for weather analyses and forecasting, and operational programmes are being developed to provide routine scatterometer observations. The advanced scatterometer (ASCAT) on board the meteorological operational (MetOp) platforms is the follow on for European scatterometers. This paper describes the ASCAT system and its capabilities, including the instrument, calibration, ground processing, and products, and reviews the science associated with scatterometer measurements.</t>
  </si>
  <si>
    <t>European Org Exploitat Meteorol Satellites, EUMETSAT, D-64205 Darmstadt, Germany; European Space Agcy, European Space Res &amp; Technol Ctr, ESTEC, NL-2200 AG Noordwijk, Netherlands; Royal Netherlands Meteorol Inst, KNMI, NL-3730 AE De Bilt, Netherlands</t>
  </si>
  <si>
    <t>European Organisation for the Exploitation of Meteorological Satellites; European Space Agency; Royal Netherlands Meteorological Institute</t>
  </si>
  <si>
    <t>figa@eumetsat.de</t>
  </si>
  <si>
    <t>Stoffelen, Ad/AAF-3524-2020; Drinkwater, Mark/C-2478-2011</t>
  </si>
  <si>
    <t>Stoffelen, Ad/0000-0002-4018-4073; Drinkwater, Mark/0000-0002-9250-3806</t>
  </si>
  <si>
    <t>TAYLOR &amp; FRANCIS INC</t>
  </si>
  <si>
    <t>PHILADELPHIA</t>
  </si>
  <si>
    <t>530 WALNUT STREET, STE 850, PHILADELPHIA, PA 19106 USA</t>
  </si>
  <si>
    <t>0703-8992</t>
  </si>
  <si>
    <t>1712-7971</t>
  </si>
  <si>
    <t>CAN J REMOTE SENS</t>
  </si>
  <si>
    <t>Can. J. Remote Sens.</t>
  </si>
  <si>
    <t>10.5589/m02-035</t>
  </si>
  <si>
    <t>Remote Sensing</t>
  </si>
  <si>
    <t>573PK</t>
  </si>
  <si>
    <t>WOS:000176839900009</t>
  </si>
  <si>
    <t>Valdés, A</t>
  </si>
  <si>
    <t>Phylogenetic systematics of Bathydoris s.l. Bergh, 1884 (Mollusca, Nudibranchia), with the description of a new species from New Caledonian deep waters</t>
  </si>
  <si>
    <t>CANADIAN JOURNAL OF ZOOLOGY-REVUE CANADIENNE DE ZOOLOGIE</t>
  </si>
  <si>
    <t>OPISTHOBRANCHIA; REDESCRIPTION; GASTROPODA</t>
  </si>
  <si>
    <t>There are six valid species in the traditional genus Bathydoris, all of them found in polar or deep waters: Bathydoris abyssorum Bergh, 1884 (from the deep equatorial Pacific Ocean), Bathydoris ingolfiana Bergh, 1899 (from Greenland), Bathydoris hodgsoni Eliot, 1907 (from Antarctic and subantarctic waters), Bathydoris clavigera Thiele, 1912 (from the Argentinean deep-sea basin and Antarctica), Bathydoris aioca Ev. Marcus and Er. Marcus, 1962 (from deep waters off California), and a new species, Bathydoris spiralis (from deep waters off New Caledonia). Bathydoris patagonica Kaiser, 1980 and Bathydoris violacea Baranets, 1993 are regarded as synonyms of B. hodgsoni and B. clavigera, respectively. Bathydoris spiralis is clearly distinguishable from other members of the genus mainly in having a triaulic reproductive system and a very elongated, spirally coiled deferent duct. Examination of the holotype of B. violacea revealed that it is a synonym of B. clavigera. Bathydoris vitjazi Minichev, 1969 is most likely a synonym of B. hodgsoni, but is provisionally regarded as nomen dubium until more material becomes available. The phylogenetic hypothesis supports the monophyly of the Anthobranchia but shows that the genus Bathydoris is paraphyletic. Species of Bathydoris are divided into two clades, one of them also containing the phanerobranch and cryptobranch dorids. Bathydoris type species B. abyssorum retains its name and diagnosis, but B. clavigera and B. spiralis are excluded from this genus. They are, however, provisionally maintained in Bathydoris s.l., a likely paraphyletic group. This result shows some incongruities between the traditional nomenclatural system and phylogenetic systematics.</t>
  </si>
  <si>
    <t>Los Angeles Cty, Museum Hist Nat, Los Angeles, CA 90007 USA</t>
  </si>
  <si>
    <t>Valdés, A (corresponding author), Los Angeles Cty, Museum Hist Nat, 900 Exposit Blvd, Los Angeles, CA 90007 USA.</t>
  </si>
  <si>
    <t>Valdes, Angel A/Q-1729-2018; Valdes, Angel/K-3051-2012</t>
  </si>
  <si>
    <t>Valdes, Angel/0000-0002-2347-4896</t>
  </si>
  <si>
    <t>NATL RESEARCH COUNCIL CANADA</t>
  </si>
  <si>
    <t>OTTAWA</t>
  </si>
  <si>
    <t>RESEARCH JOURNALS, MONTREAL RD, OTTAWA, ONTARIO K1A 0R6, CANADA</t>
  </si>
  <si>
    <t>0008-4301</t>
  </si>
  <si>
    <t>CAN J ZOOL</t>
  </si>
  <si>
    <t>Can. J. Zool.-Rev. Can. Zool.</t>
  </si>
  <si>
    <t>10.1139/Z02-085</t>
  </si>
  <si>
    <t>Zoology</t>
  </si>
  <si>
    <t>580CC</t>
  </si>
  <si>
    <t>WOS:000177215900015</t>
  </si>
  <si>
    <t>Khalil, MAK; Rasmussen, RA; Shearer, MJ</t>
  </si>
  <si>
    <t>Atmospheric nitrous oxide: patterns of global change during recent decades and centuries</t>
  </si>
  <si>
    <t>CHEMOSPHERE</t>
  </si>
  <si>
    <t>N2O; nitrous oxide; trends; global distribution; greenhouse gases; global warming; ice core data</t>
  </si>
  <si>
    <t>ICE-AGE; N2O; EMISSIONS; SOILS; AIR</t>
  </si>
  <si>
    <t>Data from weekly global measurements of nitrous oxide from 1981 to the end of 1996 are presented. The results show that there is more N2O in the northern hemisphere by about 0.7 +/- 0.04 ppbv, and the Arctic to Antarctic difference is about 1.2 +/- 0.1 ppbv. Concentrations at locations influenced by continental air are higher than at marine sites, showing the existence of large land-based emissions. For the period studied, N2O increased at an average rate of about 0.6 ppbv/year (similar to0.2%/year) although there were periods when the rates were substantially different. Using ice core data, a record of NO2 can be put together that goes back about 1000 years. It shows pre-industrial levels of about 287 +/- 1 ppbv and that concentrations have now risen by about 27 ppbv or 9.4% over the last century. The ice core data show that N2O started increasing only during the 20th century. The data presented here represent a comprehensive view of the present global distribution of N2O and its historical and recent trends. (C) 2002 Published by Elsevier Science Ltd.</t>
  </si>
  <si>
    <t>Portland State Univ, Dept Phys, Portland, OR 97207 USA; Portland State Univ, Environm Sci &amp; Resources Program, Portland, OR 97207 USA; Oregon Grad Inst, Dept Environm Sci &amp; Engn, Beaverton, OR 97006 USA</t>
  </si>
  <si>
    <t>Portland State University; Portland State University</t>
  </si>
  <si>
    <t>Khalil, MAK (corresponding author), Portland State Univ, Dept Phys, POB 751, Portland, OR 97207 USA.</t>
  </si>
  <si>
    <t>PERGAMON-ELSEVIER SCIENCE LTD</t>
  </si>
  <si>
    <t>THE BOULEVARD, LANGFORD LANE, KIDLINGTON, OXFORD OX5 1GB, ENGLAND</t>
  </si>
  <si>
    <t>0045-6535</t>
  </si>
  <si>
    <t>Chemosphere</t>
  </si>
  <si>
    <t>PII S0045-6535(01)00297-1</t>
  </si>
  <si>
    <t>10.1016/S0045-6535(01)00297-1</t>
  </si>
  <si>
    <t>Environmental Sciences</t>
  </si>
  <si>
    <t>Environmental Sciences &amp; Ecology</t>
  </si>
  <si>
    <t>560MW</t>
  </si>
  <si>
    <t>WOS:000176086700002</t>
  </si>
  <si>
    <t>Ponte, RM; Rajamony, J; Gregory, JM</t>
  </si>
  <si>
    <t>Ocean angular momentum signals in a climate model and implications for Earth rotation</t>
  </si>
  <si>
    <t>CLIMATE DYNAMICS</t>
  </si>
  <si>
    <t>POLAR MOTION; SEA-LEVEL; INTERANNUAL VARIABILITY; BOTTOM PRESSURE; ATMOSPHERE GCM; LENGTH; FLUCTUATIONS; OSCILLATION; ORIENTATION; CIRCULATION</t>
  </si>
  <si>
    <t>Estimates of ocean angular momentum (OAM) provide an integrated measure of variability in ocean circulation and mass fields and can be directly related to observed changes in Earth rotation. We use output from a climate model to calculate 240 years of 3-monthly OAM values (two equatorial terms L-1 and L-2, related to polar motion or wobble, and axial term L-3, related to length of day variations) representing the period 1860-2100. Control and forced runs permit the study of the effects of natural and anthropogenically forced climate variability on OAM. All OAM components exhibit a clear annual cycle, with large decadal modulations in amplitude, and also longer period fluctuations, all associated with natural climate variability in the model. Anthropogenically induced signals, inferred from the differences between forced and control runs, include an upward trend in L-3, related to inhomogeneous ocean warming and increases in the transport of the Antarctic Circumpolar Current, and a significantly weaker seasonal cycle in L-2 in the second half of the record, related primarily to changes in seasonal bottom pressure variability in the Southern Ocean and North Pacific. Variability in mass fields is in general more important to OAM signals than changes in circulation at the seasonal and longer periods analyzed. Relation to OAM signals to changes in surface atmospheric forcing are discussed. The important role of the oceans as an excitation source for the annual, Chandler and Markowitz wobbles, is confirmed. Natural climate variability in OAM and related excitation is likely to measurably affect the Earth rotation, but anthropogenically induced effects are comparatively weak.</t>
  </si>
  <si>
    <t>Atmospher &amp; Environm Res Inc, Lexington, MA 02421 USA; Meteorol Off, Hadley Ctr, Bracknell RG12 2SY, Berks, England</t>
  </si>
  <si>
    <t>Atmospheric &amp; Environmental Research; Met Office - UK; Hadley Centre</t>
  </si>
  <si>
    <t>Ponte, RM (corresponding author), Atmospher &amp; Environm Res Inc, 131 Hartwell Ave, Lexington, MA 02421 USA.</t>
  </si>
  <si>
    <t>Ponte, Rui/AAE-9824-2020; Gregory, Jonathan/J-2939-2016</t>
  </si>
  <si>
    <t>Gregory, Jonathan/0000-0003-1296-8644; Ponte, Rui/0000-0001-7206-6461</t>
  </si>
  <si>
    <t>0930-7575</t>
  </si>
  <si>
    <t>CLIM DYNAM</t>
  </si>
  <si>
    <t>Clim. Dyn.</t>
  </si>
  <si>
    <t>10.1007/s00382-001-0216-6</t>
  </si>
  <si>
    <t>575DD</t>
  </si>
  <si>
    <t>WOS:000176930500006</t>
  </si>
  <si>
    <t>Shearer, WT; Lee, BN; Cron, SG; Rosenblatt, HM; Smith, EO; Lugg, DJ; Nickolls, PM; Sharp, RM; Rollings, K; Reuben, JM</t>
  </si>
  <si>
    <t>Suppression of human anti-inflammatory plasma Cytokines IL-10 and IL1-RA with elevation of proinflammatory (Cytotoxic) cytokine IFN-γ in the antarctic winter-over model of space flight.</t>
  </si>
  <si>
    <t>CLINICAL IMMUNOLOGY</t>
  </si>
  <si>
    <t>Baylor Coll Med, Houston, TX 77030 USA; Univ Texas, MD Anderson Canc Ctr, Houston, TX 77030 USA; Australian Antarctic Div, Kingston, Tas 7150, Australia</t>
  </si>
  <si>
    <t>Baylor College of Medicine; University of Texas System; UTMD Anderson Cancer Center; Australian Antarctic Division</t>
  </si>
  <si>
    <t>ACADEMIC PRESS INC ELSEVIER SCIENCE</t>
  </si>
  <si>
    <t>SAN DIEGO</t>
  </si>
  <si>
    <t>525 B ST, STE 1900, SAN DIEGO, CA 92101-4495 USA</t>
  </si>
  <si>
    <t>1521-6616</t>
  </si>
  <si>
    <t>1521-7035</t>
  </si>
  <si>
    <t>CLIN IMMUNOL</t>
  </si>
  <si>
    <t>Clin. Immunol.</t>
  </si>
  <si>
    <t>S</t>
  </si>
  <si>
    <t>S3</t>
  </si>
  <si>
    <t>S4</t>
  </si>
  <si>
    <t>Immunology</t>
  </si>
  <si>
    <t>566QK</t>
  </si>
  <si>
    <t>WOS:000176439600010</t>
  </si>
  <si>
    <t>Lea, MA; Bonadonna, F; Hindell, MA; Guinet, C; Goldsworthy, SD</t>
  </si>
  <si>
    <t>Drinking behaviour and water turnover rates of Antarctic fur seal pups: implications for the estimation of milk intake by isotopic dilution</t>
  </si>
  <si>
    <t>COMPARATIVE BIOCHEMISTRY AND PHYSIOLOGY A-MOLECULAR AND INTEGRATIVE PHYSIOLOGY</t>
  </si>
  <si>
    <t>otariid; pinniped; water drinking; turnover; milk intake; metabolic water production</t>
  </si>
  <si>
    <t>ARCTOCEPHALUS-GAZELLA PUPS; HARP SEALS; PHOCA-GROENLANDICA; GROWTH EFFICIENCY; MACQUARIE-ISLAND; ENERGY; CONSUMPTION; FLUX; SEX</t>
  </si>
  <si>
    <t>The estimation of milk consumption in free-ranging seals using tritium dilution techniques makes the key assumption that the animals drink no pre-formed water during the experimental period. However, frequent observations of unweaned Antarctic fur seal pups drinking water at Iles Kerguelen necessitated the testing of this assumption. We estimated water flux rates of 3 0 pups (10.7 +/- 0.3 kg) in four experimental groups by isotopic dilution over 4 days. The groups were: (1) pups held in an open air enclosure without access to water to estimate fasting metabolic water production (MWP); (2) free-ranging pups not administered additional water; (3) pups held in an open air enclosure and given a total of 300 ml of fresh water to verify technique accuracy; and (4) free-ranging pups given 200 ml of fresh water. Pups without access to water exhibited water flux rates (20.5 +/- 0.8 ml kg(-1)d(-1)), which were significantly lower than those observed for the free-ranging group (33.0 +/- 1.7 ml kg(-1)d(-1)). Mean estimated pre-formed water intake for the free-ranging experimental groups was 12.6 ml kg(-1)d(-1). Thus, MWP, measured as total water intake during fasting, may be significantly over-groups estimated in free-ranging Antarctic fur seal pups at Iles Kerguelen and at other sites and subsequently milk intake rates may be underestimated. (C) 2002 Elsevier Science Inc. All rights reserved.</t>
  </si>
  <si>
    <t>Univ Tasmania, Dept Zool, Antarctic Wildlife Res Unit, Hobart, Tas 7001, Australia; CNRS, Ctr Etud Biol Chize, F-79360 Beauvoir Sur Niort, France; La Trobe Univ, Sea Mammal Ecol Grp, Bundoora, Vic 3086, Australia</t>
  </si>
  <si>
    <t>University of Tasmania; Centre National de la Recherche Scientifique (CNRS); La Trobe University</t>
  </si>
  <si>
    <t>Lea, MA (corresponding author), Univ Tasmania, Dept Zool, Antarctic Wildlife Res Unit, POB 252-05, Hobart, Tas 7001, Australia.</t>
  </si>
  <si>
    <t>Hindell, Mark A/C-8368-2013; Bonadonna, Francesco/A-7456-2008; Guinet, Christophe/AAR-8457-2020; Hindell, Mark A/K-1131-2013; Lea, Mary-Anne/E-9054-2013</t>
  </si>
  <si>
    <t>Bonadonna, Francesco/0000-0002-2702-5801; Goldsworthy, Simon/0000-0003-4988-9085; Hindell, Mark/0000-0002-7823-7185; Lea, Mary-Anne/0000-0001-8318-9299</t>
  </si>
  <si>
    <t>ELSEVIER SCIENCE INC</t>
  </si>
  <si>
    <t>360 PARK AVE SOUTH, NEW YORK, NY 10010-1710 USA</t>
  </si>
  <si>
    <t>1095-6433</t>
  </si>
  <si>
    <t>COMP BIOCHEM PHYS A</t>
  </si>
  <si>
    <t>Comp. Biochem. Physiol. A-Mol. Integr. Physiol.</t>
  </si>
  <si>
    <t>PII S1095-6433(02)00030-2</t>
  </si>
  <si>
    <t>10.1016/S1095-6433(02)00030-2</t>
  </si>
  <si>
    <t>Biochemistry &amp; Molecular Biology; Physiology; Zoology</t>
  </si>
  <si>
    <t>561AH</t>
  </si>
  <si>
    <t>WOS:000176113300008</t>
  </si>
  <si>
    <t>Wilson, PW; Gould, M; DeVries, AL</t>
  </si>
  <si>
    <t>Hexagonal shaped ice spicules in frozen antifreeze protein solutions</t>
  </si>
  <si>
    <t>CRYOBIOLOGY</t>
  </si>
  <si>
    <t>antifreeze; ice; spicules; non-equilibrium freezing; electron microscopy; adsorption</t>
  </si>
  <si>
    <t>FISHES; ADSORPTION; INHIBITION; PEPTIDES; AGENTS; PLANES; GROWTH</t>
  </si>
  <si>
    <t>in the presence of antifreeze proteins from both Antarctic and Arctic fishes, water freezes in the form of long c-axis spikes or spicular-like crystals. Transmission electron microscopy of the Pt/C replicas of the freeze fractured spicular ice in a small capillary revealed the presence of many hexagonally shaped structures whose cross-sectional dimensions were between 0.5 and 10 mum. Well-defined parallel faces were associated with most fractured and etched spicules. When fracture planes occurred near the tip of a spicule, well-defined pyramidal faces were apparent. Steps were sometimes associated with these pyramidal spicular crystal faces. On some of the replicas obvious roughening of certain crystal faces of the spicule was observed, suggesting that the antifreeze proteins may have adsorbed to those faces. (C) 2002 Elsevier Science (USA). All rights reserved.</t>
  </si>
  <si>
    <t>Univ Otago, Sch Med, Dept Physiol, Dunedin, New Zealand; Univ Otago, Dept Anat, Dunedin, New Zealand; Univ Illinois, Dept Anim Biol, Urbana, IL 61801 USA</t>
  </si>
  <si>
    <t>University of Otago; University of Otago; University of Illinois System; University of Illinois Urbana-Champaign</t>
  </si>
  <si>
    <t>Wilson, PW (corresponding author), Univ Otago, Sch Med, Dept Physiol, POB 913, Dunedin, New Zealand.</t>
  </si>
  <si>
    <t>Wilson, Peter/AAT-6428-2020; Wilson, Peter W.F./J-2455-2016; Wilson, Peter W/E-9174-2010</t>
  </si>
  <si>
    <t>Wilson, Peter/0000-0002-1535-6398;</t>
  </si>
  <si>
    <t>0011-2240</t>
  </si>
  <si>
    <t>Cryobiology</t>
  </si>
  <si>
    <t>PII S0011-2240(02)00028-7</t>
  </si>
  <si>
    <t>10.1016/S0011-2240(02)00028-7</t>
  </si>
  <si>
    <t>Biology; Physiology</t>
  </si>
  <si>
    <t>Life Sciences &amp; Biomedicine - Other Topics; Physiology</t>
  </si>
  <si>
    <t>601YG</t>
  </si>
  <si>
    <t>WOS:000178476400006</t>
  </si>
  <si>
    <t>Cavicchioli, R; Siddiqui, KS; Andrews, D; Sowers, KR</t>
  </si>
  <si>
    <t>Low-temperature extremophiles and their applications</t>
  </si>
  <si>
    <t>CURRENT OPINION IN BIOTECHNOLOGY</t>
  </si>
  <si>
    <t>URACIL-DNA GLYCOSYLASE; ANTARCTIC PSYCHROPHILE; PSEUDOALTEROMONAS-HALOPLANKTIS; THERMOPHILIC ENZYME; BETA-GALACTOSIDASE; COLD ADAPTATION; ALPHA-AMYLASE; BACTERIUM; PURIFICATION; STABILITY</t>
  </si>
  <si>
    <t>Psychrophilic (cold-adapted) organisms and their products have potential applications in a broad range of industrial, agricultural and medical processes. In order for growth to occur in low-temperature environments, all cellular components must adapt to the cold. This fact, in combination with the diversity of Archaea, Bacteria and Eucarya isolated from cold environments, highlights the breadth and type of biological products and processes that might be exploited for biotechnology. Relative to this undisputed potential, psychrophiles and their products are under-utilised in biotechnology; however, recent advances, particularly with cold-active enzymes, herald rapid growth for this burgeoning field.</t>
  </si>
  <si>
    <t>Univ New S Wales, Sch Biotechnol &amp; Biomol Sci, Sydney, NSW 2052, Australia; Univ New S Wales, Unisearch Ltd, Bus Dev Biotechnol &amp; Med, Sydney, NSW 2052, Australia; Univ Maryland, Ctr Marine Biotechnol, Inst Biotechnol, Baltimore, MD 21202 USA</t>
  </si>
  <si>
    <t>University of New South Wales Sydney; University of New South Wales Sydney; University System of Maryland; University of Maryland Baltimore</t>
  </si>
  <si>
    <t>Univ New S Wales, Sch Biotechnol &amp; Biomol Sci, Sydney, NSW 2052, Australia.</t>
  </si>
  <si>
    <t>r.cavicchioli@unsw.edu.au</t>
  </si>
  <si>
    <t>Cavicchioli, Ricardo/D-4341-2013</t>
  </si>
  <si>
    <t>Cavicchioli, Ricardo/0000-0001-8989-6402</t>
  </si>
  <si>
    <t>0958-1669</t>
  </si>
  <si>
    <t>1879-0429</t>
  </si>
  <si>
    <t>CURR OPIN BIOTECH</t>
  </si>
  <si>
    <t>Curr. Opin. Biotechnol.</t>
  </si>
  <si>
    <t>10.1016/S0958-1669(02)00317-8</t>
  </si>
  <si>
    <t>Biochemical Research Methods; Biotechnology &amp; Applied Microbiology</t>
  </si>
  <si>
    <t>Biochemistry &amp; Molecular Biology; Biotechnology &amp; Applied Microbiology</t>
  </si>
  <si>
    <t>557HV</t>
  </si>
  <si>
    <t>WOS:000175903900011</t>
  </si>
  <si>
    <t>Deming, JW</t>
  </si>
  <si>
    <t>Psychrophiles and polar regions</t>
  </si>
  <si>
    <t>CURRENT OPINION IN MICROBIOLOGY</t>
  </si>
  <si>
    <t>CRYO-BIOORGANIC CHEMISTRY; SEA-ICE; LOW-TEMPERATURE; ANTARCTIC PSYCHROPHILE; ENZYME-ACTIVITY; ROSS SEA; BACTERIAL; PROTEINS; GENE; PSYCHROTOLERANT</t>
  </si>
  <si>
    <t>Most reviews of microbial life in cold environments begin with a lament of how little is known about the psychrophilic (cold-loving) inhabitants or their specific adaptations to the cold. This situation is changing, as research becomes better focused by new molecular genetic (and other) approaches, by awareness of accelerated environmental change in polar regions, and by strong interest in the habitability of frozen environments elsewhere in the solar system. This review highlights recent discoveries in molecular adaptation, biodiversity and microbial dynamics in the cold, along with the concept of eutectophiles, organisms living at the critical interface inherent to the phase change of water to ice.</t>
  </si>
  <si>
    <t>Univ Washington, Sch Oceanog, Seattle, WA 98195 USA</t>
  </si>
  <si>
    <t>University of Washington; University of Washington Seattle</t>
  </si>
  <si>
    <t>Univ Washington, Sch Oceanog, Box 357940, Seattle, WA 98195 USA.</t>
  </si>
  <si>
    <t>jdeming@u.washington.edu</t>
  </si>
  <si>
    <t>CURRENT BIOLOGY LTD</t>
  </si>
  <si>
    <t>LONDON</t>
  </si>
  <si>
    <t>84 THEOBALDS RD, LONDON WC1X 8RR, ENGLAND</t>
  </si>
  <si>
    <t>1369-5274</t>
  </si>
  <si>
    <t>1879-0364</t>
  </si>
  <si>
    <t>CURR OPIN MICROBIOL</t>
  </si>
  <si>
    <t>Curr. Opin. Microbiol.</t>
  </si>
  <si>
    <t>10.1016/S1369-5274(02)00329-6</t>
  </si>
  <si>
    <t>Microbiology</t>
  </si>
  <si>
    <t>563XB</t>
  </si>
  <si>
    <t>WOS:000176281700011</t>
  </si>
  <si>
    <t>Mayzaud, P; Razouls, S; Errhif, A; Tirelli, V; Labat, JP</t>
  </si>
  <si>
    <t>Feeding, respiration and egg production rates of copepods during austral spring in the Indian sector of the Antarctic Ocean: role of the zooplankton community in carbon transformation</t>
  </si>
  <si>
    <t>DEEP-SEA RESEARCH PART I-OCEANOGRAPHIC RESEARCH PAPERS</t>
  </si>
  <si>
    <t>zooplankton; population; copepods; physiological activity; Antarctic; Indian sector</t>
  </si>
  <si>
    <t>EASTERN WEDDELL-SEA; CALANOIDES-ACUTUS COPEPODA; RHINCALANUS-GIGAS COPEPODA; DIEL VERTICAL MIGRATION; LIFE-CYCLE STRATEGIES; SOUTH-GEORGIA; CALANUS-PROPINQUUS; ATLANTIC SECTOR; COASTAL WATERS; MESOZOOPLANKTON COMMUNITY</t>
  </si>
  <si>
    <t>During the austral spring period of 1996, the composition, age structure and physiological activity of zooplankton were studied in the Indian sector of the Southern Ocean. Zooplankton biomass ranged from less than 1 gm(-2) in the Northern Polar Front Zone (PFZ) to 16 g m(-2) near the ice edge in the Seasonal Ice Zone (SIZ). Zooplankton communities were dominated by copepods associated with euphausiid larvae. At all stations, species composition of copepods was dominated in number by small species (Oithona spp, Ctenocalanus citer). Northern stations were characterized by Calanus simillimus and Metridia lucens. Southern stations showed high abundance of Calanoides acutus, Calanus propinquus and Rhincalanus gigas. Stage distribution was analyzed for the four main contributors to the copepod biomass (Calanus simillimus, Calanoides acutus, Calanus propinquus and Rhincalanus gigas). Gut pigment content and gut transit time showed a strong day-night periodicity. Gut transit times were usually high with values ranging from 1 h (Calanus propinquus) to 1 h 30 min (Rhincalanus gigas). Maximum ingestion rates were recorded for Calanus propinquus and Pleuromamma robusta. Respiration rates were measured for 13 species of copepods and varied from 0.5-0.6 mul O-2 ind(-1) day(-1) for smaller species to 20-62 mul O-2 ind(-1) day(-1) for the larger ones. The impact of the copepod population was estimated from the CO2 produced per m-2 and per day, which showed a release of 4.2-4.5 mmol. It corresponded to a minimum ingestion of 41.4% in the Permanent Open Ocean Zone (POOZ) and 22.6% in the SIZ of the daily primary production. The budget between carbon ingestion and respiratory requirements appears to be nearly balanced, but with the exception of Calanus propinquus, cannot accommodate the addition of the cost of egg production, which only partially relies on food intake. During austral spring, the population studied appeared to rely mostly on phytoplankton as food, though additional use of internal energy reserves and intake of protozoan cells was likely needed to fully balance the energy budget. (C) 2002 Elsevier Science Ltd. All rights reserved.</t>
  </si>
  <si>
    <t>Observ Oceanol, Lab Ocean Villefranche, LOV, Equipe Ocean Biochim &amp; Ecol, F-06230 Villefranche Sur Mer, France; Observ Ocean, Lab Arago, UMR 7621, F-66650 Banyuls sur Mer, France; Univ Trieste, Dipartimento Biol, I-34127 Trieste, Italy</t>
  </si>
  <si>
    <t>Sorbonne Universite; Centre National de la Recherche Scientifique (CNRS); CNRS - National Institute for Earth Sciences &amp; Astronomy (INSU); University of Trieste</t>
  </si>
  <si>
    <t>Mayzaud, P (corresponding author), Observ Oceanol, Lab Ocean Villefranche, LOV, Equipe Ocean Biochim &amp; Ecol, BP 28, F-06230 Villefranche Sur Mer, France.</t>
  </si>
  <si>
    <t>mayzaud@obs-vifr.fr</t>
  </si>
  <si>
    <t>Tirelli, Valentina/GPG-4131-2022</t>
  </si>
  <si>
    <t>Tirelli, Valentina/0000-0002-5152-2891</t>
  </si>
  <si>
    <t>0967-0637</t>
  </si>
  <si>
    <t>1879-0119</t>
  </si>
  <si>
    <t>DEEP-SEA RES PT I</t>
  </si>
  <si>
    <t>Deep-Sea Res. Part I-Oceanogr. Res. Pap.</t>
  </si>
  <si>
    <t>PII S0967-0637(02)00012-2</t>
  </si>
  <si>
    <t>10.1016/S0967-0637(02)00012-2</t>
  </si>
  <si>
    <t>Oceanography</t>
  </si>
  <si>
    <t>576TB</t>
  </si>
  <si>
    <t>WOS:000177020200005</t>
  </si>
  <si>
    <t>Jackson, GD; Finn, J; Nicol, S</t>
  </si>
  <si>
    <t>Planktonic cephalopods collected off East Antarctica during the 'BROKE' survey</t>
  </si>
  <si>
    <t>squid; cephalopod; paralarvae; Galiteuthis glacialis; Antarctica; RMT net</t>
  </si>
  <si>
    <t>SQUID GALITEUTHIS-GLACIALIS; JANUARY-MARCH 1996; COMMUNITY STRUCTURE; SOUTHERN-OCEAN; WEDDELL SEA; PRYDZ BAY; 80-150-DEGREES-E; ICE; FUTURE; COAST</t>
  </si>
  <si>
    <t>The composition and distribution of squid captured between January and March during the 1996 baseline research on oceanography, krill and the environment survey off East Antarctica (80-150degreesE) was investigated. A total of 195 individuals were captured. The species collected were Galiteuthis glacialis, Mesonychoteuthis hamiltoni, Histioteuthis atlantica, H. eltaninae, Alluroteuthis antarcticus, Batoteuthis skolops and Pholidoteuthis boschmai. Concentrations of squid were low, ranging from 4.4 to 174.7 individuals 100,000(-3). The majority of squid captured were G. glacialis (174 individuals, 89.2% of all squid captured), and most of these (n = 171) were small paralarvae &lt; 25 mm in mantle length. G. glacialis were distributed predominantly west of 120°E in water that was colder, and where the distance from the coastline of the southern boundary of the Antarctic circumpolar current (SB-ACC) was maximal. This water mass had greater concentrations of phytoplankton, was more productive and had maximal sea-ice extent compared to the water mass east of 120°E. G. glacialis was therefore more abundant in water where the majority of krill and krill predators were present compared to warmer oceanic waters of the ACC to the east, where salps dominated. (C) 2002 Elsevier Science Ltd. All rights reserved.</t>
  </si>
  <si>
    <t>Univ Tasmania, Inst Antarctic &amp; So Ocean Studies, Hobart, Tas 7001, Australia; Australian Antarctic Div, Kingston, Tas 7050, Australia</t>
  </si>
  <si>
    <t>University of Tasmania; Australian Antarctic Division</t>
  </si>
  <si>
    <t>Jackson, GD (corresponding author), Univ Tasmania, Inst Antarctic &amp; So Ocean Studies, POB 252-77, Hobart, Tas 7001, Australia.</t>
  </si>
  <si>
    <t>Jackson, George D/AAI-7315-2021</t>
  </si>
  <si>
    <t>PII S0967-0637(02)00014-6</t>
  </si>
  <si>
    <t>10.1016/S0967-0637(02)00014-6</t>
  </si>
  <si>
    <t>WOS:000177020200006</t>
  </si>
  <si>
    <t>Nemirovskaya, IA; Bogorodskii, PV; Novigatskii, AN; Khlebopashev, PV</t>
  </si>
  <si>
    <t>Distribution of natural and anthropogenic hydrocarbons in the Antarctic fast ice</t>
  </si>
  <si>
    <t>DOKLADY EARTH SCIENCES</t>
  </si>
  <si>
    <t>SEA-ICE</t>
  </si>
  <si>
    <t>Russian Acad Sci, Shirshov Inst Oceanog, Moscow 117218, Russia; Arctic &amp; Antarctic Res Inst, St Petersburg 199397, Russia</t>
  </si>
  <si>
    <t>Russian Academy of Sciences; Shirshov Institute of Oceanology; Arctic &amp; Antarctic Research Institute</t>
  </si>
  <si>
    <t>Nemirovskaya, IA (corresponding author), Russian Acad Sci, Shirshov Inst Oceanog, Nakhimovskii Pr 36, Moscow 117218, Russia.</t>
  </si>
  <si>
    <t>Nemirovskaya, Inna/G-2392-2017; Nemirovskaya, Inna/GYD-8003-2022; Bogorodskii, Petr/J-4213-2014; Novigatsky, A.N./D-5591-2017</t>
  </si>
  <si>
    <t>Nemirovskaya, Inna/0000-0002-2772-6982; Novigatsky, A.N./0000-0003-2814-878X</t>
  </si>
  <si>
    <t>INTERPERIODICA</t>
  </si>
  <si>
    <t>BIRMINGHAM</t>
  </si>
  <si>
    <t>PO BOX 1831, BIRMINGHAM, AL 35201-1831 USA</t>
  </si>
  <si>
    <t>1028-334X</t>
  </si>
  <si>
    <t>DOKL EARTH SCI</t>
  </si>
  <si>
    <t>Dokl. Earth Sci.</t>
  </si>
  <si>
    <t>JUN-JUL</t>
  </si>
  <si>
    <t>579ER</t>
  </si>
  <si>
    <t>WOS:000177166100024</t>
  </si>
  <si>
    <t>Dmitrenko, IA; Hoelemann, J; Kirillov, SA; Berezovskaya, SL; Eicken, H; Ivanova, DA; Kassens, H</t>
  </si>
  <si>
    <t>Transformation of baroclinic tidal internal waves under the influence of ice cover on the Laptev Sea shelf</t>
  </si>
  <si>
    <t>OCEAN</t>
  </si>
  <si>
    <t>Arctic &amp; Antarctic Res Inst, St Petersburg 199397, Russia; Alfred Wegener Inst Polar &amp; Meersforsch, D-27515 Bremerhaven, Germany; Russian State Hydrometeorol Univ, St Petersburg 195196, Russia; Univ Alaska, Inst Geophys, Fairbanks, AK 99775 USA; Univ Kiel, Forschungszentrum Marine Geowissensch, GEOMAR, D-24148 Kiel, Germany</t>
  </si>
  <si>
    <t>Arctic &amp; Antarctic Research Institute; Helmholtz Association; Alfred Wegener Institute, Helmholtz Centre for Polar &amp; Marine Research; Russian State Hydrometeorological University; University of Alaska System; University of Alaska Fairbanks; University of Kiel; Helmholtz Association; GEOMAR Helmholtz Center for Ocean Research Kiel</t>
  </si>
  <si>
    <t>Arctic &amp; Antarctic Res Inst, Ul Beringa 38, St Petersburg 199397, Russia.</t>
  </si>
  <si>
    <t>igordm@iarc.uaf.edu</t>
  </si>
  <si>
    <t>Eicken, Hajo/M-6901-2016; Hoelemann, Jens/N-3608-2016</t>
  </si>
  <si>
    <t>Hoelemann, Jens/0000-0001-5102-4086</t>
  </si>
  <si>
    <t>MAIK NAUKA/INTERPERIODICA/SPRINGER</t>
  </si>
  <si>
    <t>233 SPRING ST, NEW YORK, NY 10013-1578 USA</t>
  </si>
  <si>
    <t>1531-8354</t>
  </si>
  <si>
    <t>WOS:000177166100031</t>
  </si>
  <si>
    <t>Glasser, NF; Siegert, MJ</t>
  </si>
  <si>
    <t>Calculating basal temperatures in ice sheets: An excel spreadsheet method</t>
  </si>
  <si>
    <t>EARTH SURFACE PROCESSES AND LANDFORMS</t>
  </si>
  <si>
    <t>ice sheets : basal thermal regime; spreadsheet; Scotland, Antarctica</t>
  </si>
  <si>
    <t>LAURENTIDE; DEFORMATION; EROSION; BENEATH</t>
  </si>
  <si>
    <t>The flow of ice sheets and their geomorphological impact is greatly influenced by their basal thermal regime. Calculations of basal temperatures in ice sheets are therefore fundamental in evaluating glacier dynamics and in determining the spatial distribution of zones of erosion and deposition beneath ice masses. Calculations of basal temperatures are not frequently attempted, however, primarily because of the techniques required to solve the heat conduction equation between the ice surface and the base. This paper describes a new Excel spreadsheet method of solving this equation that can readily be applied to both former and contemporary ice sheets. The application of the spreadsheet is illustrated with two examples. The first Provides a Calculation of basal thermal regime beneath the north eastern part of the Scottish ice sheet during the last glacial maximum; the second shows how basal ice temperatures can be calculated beneath the modern Antarctic ice sheet. Copyright (C) 2002 John Wiley Sons, Ltd.</t>
  </si>
  <si>
    <t>Univ Wales, Inst Geog &amp; Earth Sci, Ctr Glaciol, Aberystwyth SY23 3DB, Dyfed, Wales; Univ Bristol, Sch Geog Sci, Bristol Glaciol Ctr, Bristol BS8 1SS, Avon, England</t>
  </si>
  <si>
    <t>Aberystwyth University; University of Bristol</t>
  </si>
  <si>
    <t>Univ Wales, Inst Geog &amp; Earth Sci, Ctr Glaciol, Aberystwyth SY23 3DB, Dyfed, Wales.</t>
  </si>
  <si>
    <t>nfg@aber.ac.uk</t>
  </si>
  <si>
    <t>Siegert, Martin/M-9939-2019; Siegert, Martin J/A-3826-2008; Glasser, Neil F/C-1971-2012</t>
  </si>
  <si>
    <t>Siegert, Martin/0000-0002-0090-4806; Siegert, Martin J/0000-0002-0090-4806; Glasser, Neil/0000-0002-8245-2670</t>
  </si>
  <si>
    <t>0197-9337</t>
  </si>
  <si>
    <t>1096-9837</t>
  </si>
  <si>
    <t>EARTH SURF PROC LAND</t>
  </si>
  <si>
    <t>Earth Surf. Process. Landf.</t>
  </si>
  <si>
    <t>10.1002/esp.344</t>
  </si>
  <si>
    <t>Geography, Physical; Geosciences, Multidisciplinary</t>
  </si>
  <si>
    <t>570BY</t>
  </si>
  <si>
    <t>WOS:000176639300008</t>
  </si>
  <si>
    <t>Rolston, H</t>
  </si>
  <si>
    <t>Environmental ethics in Antarctica</t>
  </si>
  <si>
    <t>ENVIRONMENTAL ETHICS</t>
  </si>
  <si>
    <t>The concerns of environmental ethics on other continents fail in Antarctica, which is without sustainable development, or ecosystems for a land ethic, or even familiar terrestrial fauna and flora. An Antarctic regime, developing politically, has been developing an ethics, underrunning the politics, remarkably exemplified in the Madrid Protocol, protecting the intrinsic value of Antarctica. Without inhabitants, claims of sovereignty are problematic. Antarctica is a continent for scientists and, more recently, tourists. Both focus on wild nature. Life is driven to extremes; these extremes can intensify an ethic. Antarctica as common heritage transforms into wilderness, sanctuary, wonderland. An appropriate ethics for the seventh continent differs radically from that for the other six.</t>
  </si>
  <si>
    <t>Colorado State Univ, Dept Philosophy, Ft Collins, CO 80523 USA</t>
  </si>
  <si>
    <t>Colorado State University</t>
  </si>
  <si>
    <t>Rolston, H (corresponding author), Colorado State Univ, Dept Philosophy, Ft Collins, CO 80523 USA.</t>
  </si>
  <si>
    <t>ENVIRONMENTAL PHILOSOPHY INC</t>
  </si>
  <si>
    <t>DENTON</t>
  </si>
  <si>
    <t>UNIV NORTH TEXAS, DEPT PHILOSOPHY, PO BOX 13496, DENTON, TX 76203-3496 USA</t>
  </si>
  <si>
    <t>0163-4275</t>
  </si>
  <si>
    <t>ENVIRON ETHICS</t>
  </si>
  <si>
    <t>Environ. Ethics</t>
  </si>
  <si>
    <t>10.5840/enviroethics200224226</t>
  </si>
  <si>
    <t>Ethics; Environmental Studies</t>
  </si>
  <si>
    <t>Social Science Citation Index (SSCI)</t>
  </si>
  <si>
    <t>Social Sciences - Other Topics; Environmental Sciences &amp; Ecology</t>
  </si>
  <si>
    <t>559QM</t>
  </si>
  <si>
    <t>WOS:000176036900001</t>
  </si>
  <si>
    <t>McDonnell, MD; Possingham, HP; Ball, IR; Cousins, EA</t>
  </si>
  <si>
    <t>Mathematical methods for spatially cohesive reserve design</t>
  </si>
  <si>
    <t>ENVIRONMENTAL MODELING &amp; ASSESSMENT</t>
  </si>
  <si>
    <t>reserve design; simulated annealing; set covering problem; spatial; clustering; fragmentation; optimisation heuristics; multiobjective optimisation</t>
  </si>
  <si>
    <t>OPTIMIZATION; CONSERVATION; ALGORITHMS; MODEL</t>
  </si>
  <si>
    <t>The problem of designing spatially cohesive nature reserve systems that meet biodiversity objectives is formulated as a nonlinear integer programming problem. The multiobjective function minimises a combination of boundary length, area and failed representation of the biological attributes we are trying to conserve. The task is to reserve a subset of sites that best meet this objective. We use data on the distribution of habitats in the Northern Territory, Australia, to show how simulated annealing and a greedy heuristic algorithm can be used to generate good solutions to such large reserve design problems, and to compare the effectiveness of these methods.</t>
  </si>
  <si>
    <t>Univ Adelaide, Dept Appl Math, Adelaide, SA 5005, Australia; Univ Queensland, Dept Math &amp; Zool &amp; Entomol, St Lucia, Qld 4072, Australia; Australian Antarctic Div, Kingston, Tas 7050, Australia</t>
  </si>
  <si>
    <t>University of Adelaide; University of Queensland; Australian Antarctic Division</t>
  </si>
  <si>
    <t>Univ Adelaide, Dept Appl Math, Adelaide, SA 5005, Australia.</t>
  </si>
  <si>
    <t>Possingham, Hugh/B-1337-2008; POSSINGHAM, HUGH/R-8310-2019; McDonnell, Mark/A-8374-2008</t>
  </si>
  <si>
    <t>Possingham, Hugh/0000-0001-7755-996X; POSSINGHAM, HUGH/0000-0001-7755-996X; McDonnell, Mark/0000-0002-7009-3869</t>
  </si>
  <si>
    <t>DORDRECHT</t>
  </si>
  <si>
    <t>VAN GODEWIJCKSTRAAT 30, 3311 GZ DORDRECHT, NETHERLANDS</t>
  </si>
  <si>
    <t>1420-2026</t>
  </si>
  <si>
    <t>1573-2967</t>
  </si>
  <si>
    <t>ENVIRON MODEL ASSESS</t>
  </si>
  <si>
    <t>Environ. Model. Assess.</t>
  </si>
  <si>
    <t>10.1023/A:1015649716111</t>
  </si>
  <si>
    <t>555RA</t>
  </si>
  <si>
    <t>WOS:000175806000007</t>
  </si>
  <si>
    <t>Horn, PL</t>
  </si>
  <si>
    <t>Age and growth of Patagonian toothfish (Dissostichus eleginoides) and Antarctic toothfish (D-mawsoni) in waters from the New Zealand subantarctic to the Ross Sea, Antarctica</t>
  </si>
  <si>
    <t>FISHERIES RESEARCH</t>
  </si>
  <si>
    <t>age determination; otoliths; otolith reading; Dissostichus eleginoides; Dissostichus mawsoni</t>
  </si>
  <si>
    <t>SOUTH-ISLAND; PARAMETERS; OTOLITHS; FISH</t>
  </si>
  <si>
    <t>The margins of otoliths of Patagonian toothfish (Dissostichus eleginoides) from several samples collected throughout the year were classified as either opaque or translucent. The margins were generally opaque in summer and translucent in winter. Thus, this species appears to deposit one translucent zone in its otoliths each year, and Counts of these zones are probably a valid method to determine fish age. Comparisons of readings of D. eleginoides otoliths by workers from various institutions indicated a reasonable between-reader consistency, but still suggested that the otoliths were difficult to read. Von Bertalanffy growth parameters were calculated from the author's readings only, separately by sex, for D. eleginoides caught from waters south of New Zealand to the Ross Sea, Antarctica, by longline and trawl fisheries. D. eleginoides appear to be moderately fast growing, at least to about age 10, and reasonably long-lived, reaching at least 50 years. Females grow at a faster rate and reach a larger size than males, but both sexes exhibit comparable maximum ages. Von Bertalanffy growth parameters were also calculated, separately by sex, for Antarctic toothfish (Dissostichus mawsoni) caught by the longline fishery in the northern Ross Sea. Otoliths of this species were interpreted similarly to those of D. eleginoides, but this method of ageing D. mawsoni is invalidated. D. mawsoni appears to be moderately fast growing, at least to about age 10, and can live for at least 35 years. This species probably grows at a slightly faster rate, and reaches a larger size than D. eleginoides. (C) 2002 Elsevier Science B.V. All rights reserved.</t>
  </si>
  <si>
    <t>Natl Inst Water &amp; Atmospher Res NIWA Ltd, Nelson, New Zealand</t>
  </si>
  <si>
    <t>National Institute of Water &amp; Atmospheric Research (NIWA) - New Zealand</t>
  </si>
  <si>
    <t>Horn, PL (corresponding author), Natl Inst Water &amp; Atmospher Res NIWA Ltd, POB 893, Nelson, New Zealand.</t>
  </si>
  <si>
    <t>Horn, Peter/0000-0003-4163-5064</t>
  </si>
  <si>
    <t>0165-7836</t>
  </si>
  <si>
    <t>FISH RES</t>
  </si>
  <si>
    <t>Fish Res.</t>
  </si>
  <si>
    <t>PII S0165-7836(01)00325-3</t>
  </si>
  <si>
    <t>10.1016/S0165-7836(01)00325-3</t>
  </si>
  <si>
    <t>Fisheries</t>
  </si>
  <si>
    <t>561PZ</t>
  </si>
  <si>
    <t>WOS:000176151700004</t>
  </si>
  <si>
    <t>Zhang, N; Yamashita, Y; Nozaki, Y</t>
  </si>
  <si>
    <t>Effect of protein hydrolysate from Antarctic krill meat on the state of water and denaturation by dehydration of lizard fish myofibrils</t>
  </si>
  <si>
    <t>FISHERIES SCIENCE</t>
  </si>
  <si>
    <t>Antarctic krill; Ca-ATPase; drying; hydrolysate; lizard fish; myofibrils; water activity</t>
  </si>
  <si>
    <t>To utilize Antarctic krill as functional food, protein hydrolysates were prepared by enzymatic hydrolysis. Their effects on the state of water in myofibrils of lizard fish and dehydration-induced denaturation were compared with those from two species of shrimp, glucose, and sodium glutamate. Peptides are major components in hydrolysates, occupying approximately 85-93% of the total materials. The Antarctic krill protein hydrolysates stabilized the bonding of water molecules, leading to suppressed denaturation of myofibrils during the dehydration process. Similar effects were observed for shrimp protein hydrolysates. The effect of the hydrolysate was less than that by glucose and sodium glutamate.</t>
  </si>
  <si>
    <t>Nagasaki Univ, Grad Sch Marine Sci &amp; Engn, Nagasaki 8528521, Japan; Nagasaki Univ, Fac Fisheries, Nagasaki 8528521, Japan</t>
  </si>
  <si>
    <t>Nagasaki University; Nagasaki University</t>
  </si>
  <si>
    <t>Zhang, N (corresponding author), Nagasaki Univ, Grad Sch Marine Sci &amp; Engn, Nagasaki 8528521, Japan.</t>
  </si>
  <si>
    <t>JAPANESE SOC FISHERIES SCIENCE</t>
  </si>
  <si>
    <t>TOKYO</t>
  </si>
  <si>
    <t>C/O TOKYO UNIV FISHERIES, KONAN 4, MINATO, TOKYO, 108-8477, JAPAN</t>
  </si>
  <si>
    <t>0919-9268</t>
  </si>
  <si>
    <t>FISHERIES SCI</t>
  </si>
  <si>
    <t>Fish. Sci.</t>
  </si>
  <si>
    <t>10.1046/j.1444-2906.2002.00476.x</t>
  </si>
  <si>
    <t>571BW</t>
  </si>
  <si>
    <t>WOS:000176695800028</t>
  </si>
  <si>
    <t>Uchida, M; Maeda, T; Shiba, T</t>
  </si>
  <si>
    <t>Phylogenic analysis of three marine bacteria that have an ability to decompose Laminaria japonica</t>
  </si>
  <si>
    <t>16S rDNA; Glaciecola; Laminaria-decomposing bacteria; phylogenic analysis; Pseudoalteromonas atlantica</t>
  </si>
  <si>
    <t>ANTARCTIC SEA-ICE; PSYCHROPHILIC BACTERIA; WATERS</t>
  </si>
  <si>
    <t>Fisheries Res Agcy, Natl Res Inst Fisheries Sci, Yokohama, Kanagawa 2368648, Japan; Natl Fisheries Univ, Dept Food Sci &amp; Technol, Shimonoseki, Yamaguchi 7596595, Japan</t>
  </si>
  <si>
    <t>Japan Fisheries Research &amp; Education Agency (FRA); Japan Fisheries Research &amp; Education Agency (FRA)</t>
  </si>
  <si>
    <t>Uchida, M (corresponding author), Fisheries Res Agcy, Natl Res Inst Fisheries Sci, Yokohama, Kanagawa 2368648, Japan.</t>
  </si>
  <si>
    <t>10.1046/j.1444-2906.2002.00481.x</t>
  </si>
  <si>
    <t>WOS:000176695800034</t>
  </si>
  <si>
    <t>Sushchevskaya, NM; Udintsev, GB; Belyatskii, BV; Tsekhonya, TI; Kurentsova, NA</t>
  </si>
  <si>
    <t>Magmatism in the central part of the Bransfield Strait spreading zone, Southern Ocean</t>
  </si>
  <si>
    <t>GEOCHEMISTRY INTERNATIONAL</t>
  </si>
  <si>
    <t>MID-ATLANTIC RIDGE; ANTARCTIC PENINSULA; ISOTOPE GEOCHEMISTRY; CENOZOIC VOLCANISM; BASALTIC GLASSES; TRACE-ELEMENT; UPPER-MANTLE; ISLAND; HOTSPOT; SYSTEM</t>
  </si>
  <si>
    <t>The petrological-geochemical study of the basalts from the central part of Bransfield Strait in Western Antarctica during Cruise 29 of the RN Akademik Boris Petrov indicates that the parental melts were fractionated under conditions similar to those beneath slow-spreading ridges. The melts crystallized under pressures of 2-3 kbar and temperatures of approximately 1150degreesC. The primary melts of the area belong to the Na type and were derived at shallower depths beneath rift zones than the generation depths of more widely spread TOR-1 and TOR-2 spreading-related tholeiites. The melts from Bransfield Strait were determined to have genetic characteristics identical to those of melts from the North Weddell Ridge east of this area but differ from the latter by stronger fractionation. The fractionation character of incompatible elements (Ba, Th, Nb, La, Ce, Sr, Nd, Sm, Zr, Be, Eu, Ti, Dy, Y, Er, Yb, and Li) in the Bransfield tholeiites is generally similar to that in Cenozoic alkaline magmas in the Antarctic Peninsula, except for a few differences: some of the Bransfield tholeiitic melts were related to depleted sources, while others were derived from weakly enriched Sources. A noteworthy feature of the melts from the central part of the Bransfield spreading zone is elevated concentration of water (up to 0.9%), perhaps because of the closeness of the magma generation region to the subduction zone of the Bransfield Strait. The isotopic ratios measured in glasses from the Bransfield Strait, Sr-87/Sr-86 = 0.7031-0.7034, Nd-143/Nd-144 = 0.512943-0.512956, Pb-206/Pb-204 = 18.747-18.755, Pb-207/Pb-204 = 15.614-15.621, Pb-208/Pb-204 = 38.522-38.559, and mu = 4.6-8.7 are comparable with the isotopic composition of enriched basalts in MOR and several islands.</t>
  </si>
  <si>
    <t>Russian Acad Sci, VI Vernadskii Inst Geochem &amp; Analyt Chem, Moscow 117975, Russia; Russian Acad Sci, Inst Precambrian Geol &amp; Geochronol, St Petersburg 199034, Russia</t>
  </si>
  <si>
    <t>Russian Academy of Sciences; Vernadsky Institute of Geochemistry &amp; Analytical Chemistry; Russian Academy of Sciences; Institute of Precambrian Geology &amp; Geochronology of the Russian Academy of Sciences</t>
  </si>
  <si>
    <t>Sushchevskaya, NM (corresponding author), Russian Acad Sci, VI Vernadskii Inst Geochem &amp; Analyt Chem, Ul Kosygina 19, Moscow 117975, Russia.</t>
  </si>
  <si>
    <t>Tsekhonya, Tatiana I/A-5313-2016</t>
  </si>
  <si>
    <t>0016-7029</t>
  </si>
  <si>
    <t>GEOCHEM INT+</t>
  </si>
  <si>
    <t>Geochem. Int.</t>
  </si>
  <si>
    <t>571CU</t>
  </si>
  <si>
    <t>WOS:000176697900004</t>
  </si>
  <si>
    <t>Breemer, CW; Clark, PU; Haggerty, R</t>
  </si>
  <si>
    <t>Modeling the subglacial hydrology of the late Pleistocene Lake Michigan Lobe, Laurentide Ice Sheet</t>
  </si>
  <si>
    <t>GEOLOGICAL SOCIETY OF AMERICA BULLETIN</t>
  </si>
  <si>
    <t>groundwater; Last Glacial Maximum; Laurentide Ice Sheet; MODFLOW; and paleohydrology</t>
  </si>
  <si>
    <t>GROUNDWATER-FLOW; BED DEFORMATION; LAST GLACIATION; STREAM; ANTARCTICA; DRAINAGE; BENEATH; GERMANY; SYSTEM</t>
  </si>
  <si>
    <t>The fast ice flow characteristic of the low-gradient Lake Michigan Lobe of the southern Laurentide Ice Sheet during the last glaciation likely resulted from some combination of subglacial sediment deformation and sliding at the ice-bed interface. Both mechanisms require high basal water pressure relative to overlying ice pressure. To evaluate the basal water pressures of the Lake Michigan Lobe, we used the groundwater model MODFLOW to simulate groundwater flow along a 1040-km-long flow line corresponding to the flow path taken by the ice lobe. Our simulations show that groundwater flow directions and velocities were substantially different than modern conditions. Simulations also indicate that subglacial aquifers were not capable of evacuating the estimated basal meltwater, but that excess water draining through a basal drainage system such as one that may underlie Ice Stream B, West Antarctic Ice Sheet, would prevent basal water pressure from exceeding the ice-overburden pressure. The buried Mahomet bedrock-valley system near the distal end of the Lake Michigan Lobe could have drained enough subglacial water to substantially lower basal water pressure and thus affect the dynamics of the lobe. By draining basal meltwater away from the Lake Michigan Lobe, the buried Mahomet bedrock-valley system may have attenuated the effect of permafrost on basal water pressure. During the Last Glacial Maximum, groundwater-flow patterns and velocities were altered or reversed relative to present conditions.</t>
  </si>
  <si>
    <t>Oregon State Univ, Dept Geosci, Corvallis, OR 97331 USA</t>
  </si>
  <si>
    <t>Oregon State University</t>
  </si>
  <si>
    <t>Breemer, CW (corresponding author), Henshaw Associates, 9700 SW Capitol Highway,Suite 9700, Portland, OR 97219 USA.</t>
  </si>
  <si>
    <t>Haggerty, Roy/A-5863-2009; Haggerty, Roy/HNQ-0317-2023</t>
  </si>
  <si>
    <t>Haggerty, Roy/0009-0009-0364-0373</t>
  </si>
  <si>
    <t>ASSOC ENGINEERING GEOLOGISTS GEOLOGICAL SOCIETY AMER</t>
  </si>
  <si>
    <t>COLLEGE STN</t>
  </si>
  <si>
    <t>TEXAS A &amp; M UNIV, DEPT GEOLOGY &amp; GEOPHYSICS, COLLEGE STN, TX 77843-3115 USA</t>
  </si>
  <si>
    <t>0016-7606</t>
  </si>
  <si>
    <t>GEOL SOC AM BULL</t>
  </si>
  <si>
    <t>Geol. Soc. Am. Bull.</t>
  </si>
  <si>
    <t>10.1130/0016-7606(2002)114&lt;0665:MTSHOT&gt;2.0.CO;2</t>
  </si>
  <si>
    <t>561HQ</t>
  </si>
  <si>
    <t>WOS:000176134500003</t>
  </si>
  <si>
    <t>Hall, IR; Carter, L; Harris, SE</t>
  </si>
  <si>
    <t>Major depositional events under the deep Pacific inflow</t>
  </si>
  <si>
    <t>GEOLOGY</t>
  </si>
  <si>
    <t>southwest Pacific; mass accumulation rates; deep western boundary current; Ocean Drilling Program; sediment drifts</t>
  </si>
  <si>
    <t>WESTERN BOUNDARY CURRENT; NEW-ZEALAND; SOUTHERN-OCEAN; CIRCULATION; CARBONATE; ISLAND; EAST</t>
  </si>
  <si>
    <t>The main inflow of deep water to the Pacific is via a deep western boundary current. As the current passes along the continental margin off eastern New Zealand, it receives much terrigenous sediment, which, together with the biogenic pelagic supply, has been reworked into a suite of large drifts. Ocean Drilling Program Site 1123 on the North Chatham Drift and Site 1124 on the Rekohu Drift have yielded high-resolution and well-dated records of carbonate and terrigenous fluxes for the past 3 m.y. Deposition at both drifts was affected by a deep western boundary current background sediment flux and by glacial-interglacial cycles. In addition, drifts received site-specific flux pulses caused by (1) sediment remobilization under a vigorous Antarctic Circumpolar Current, (2) increased oceanic productivity, (3) overspill of sediment from the newly formed Hikurangi Channel, and (4) generally increased discharge from the Hikurangi Channel under intensified Quaternary uplift and paleoclimatic oscillations.</t>
  </si>
  <si>
    <t>Cardiff Univ, Dept Earth Sci, Cardiff CF10 3YE, S Glam, Wales; Natl Inst Water &amp; Atmospher Res, Wellington, New Zealand; Sea Educ Assoc, Woods Hole, MA 02543 USA</t>
  </si>
  <si>
    <t>Cardiff University; National Institute of Water &amp; Atmospheric Research (NIWA) - New Zealand</t>
  </si>
  <si>
    <t>Hall, IR (corresponding author), Cardiff Univ, Dept Earth Sci, POB 914, Cardiff CF10 3YE, S Glam, Wales.</t>
  </si>
  <si>
    <t>Harris, Sam/KHZ-2253-2024; Hall, Ian/C-2755-2009</t>
  </si>
  <si>
    <t>Hall, Ian/0000-0001-6960-1419</t>
  </si>
  <si>
    <t>GEOLOGICAL SOC AMERICA, INC</t>
  </si>
  <si>
    <t>BOULDER</t>
  </si>
  <si>
    <t>PO BOX 9140, BOULDER, CO 80301-9140 USA</t>
  </si>
  <si>
    <t>0091-7613</t>
  </si>
  <si>
    <t>10.1130/0091-7613(2002)030&lt;0487:MDEUTD&gt;2.0.CO;2</t>
  </si>
  <si>
    <t>561QC</t>
  </si>
  <si>
    <t>WOS:000176152100001</t>
  </si>
  <si>
    <t>Jones, IW; Munhoven, G; Tranter, M; Huybrechts, P; Sharp, MJ</t>
  </si>
  <si>
    <t>Modelled glacial and non-glacial HCO3-, Si and Ge fluxes since the LGM:: little potential for impact on atmospheric CO2 concentrations and a potential proxy of continental chemical erosion, the marine Ge/Si ratio</t>
  </si>
  <si>
    <t>GLOBAL AND PLANETARY CHANGE</t>
  </si>
  <si>
    <t>Symposium on Global Carbon Cycle and Its Changes over Glacial-Interglacial Cycles</t>
  </si>
  <si>
    <t>STRASBOURG, FRANCE</t>
  </si>
  <si>
    <t>HCO(3); Si and Ge fluxes; LGM atmospheric CO(2) concentration; marine Ge/Si ratio</t>
  </si>
  <si>
    <t>CORAL-REEF HYPOTHESIS; ANTARCTIC ICE-SHEET; CARBON-DIOXIDE; GERMANIUM; CLIMATE; SEDIMENTS; MAXIMUM; OCEAN; DEGLACIATION; SENSITIVITY</t>
  </si>
  <si>
    <t>The runoff and riverine fluxes of HCO(3)(-), Si and Ge that arise from chemical erosion in non-glaciated terrain, are modelled at six time steps from the Last Glacial Maximum (LGM) to the present day. The fluxes that arise from the Great Ice Sheets are also modelled. Terrestrial HCO(3)(-) fluxes decrease during deglaciation, largely because of the reduction in the area of the continental shelves as sea level rises. The HCO(3)(-) fluxes. and the inferred consumption of atmospheric CO(2) are used as inputs to a carbon cycle model that estimates their impact on atmospheric CO(2) concentrations ((atms)CO(2)). A maximum perturbation of (atms)CO(2) by similar to 5.5 ppm is calculated, The impact of solutes from glaciated terrain is small in comparison to those from non-glaciated terrain. Little variation in terrestrial Si and Ge fluxes is calculated (&lt; 10%). However, the global average riverine Ge/Si ratio may be significantly perturbed if the glacial Ge/Si ratio is high. At present. variations in terrestrial chemical erosion appear to have only a reduced impact on (atms)CO(2) and only little influence on the global Si and Ge cycle and marine Ge/Si ratios during deglaciation. (C) 2002 Elsevier Science B.V. All rights reserved.</t>
  </si>
  <si>
    <t>Univ Bristol, Sch Geog Sci, Bristol Glaciol Ctr, Bristol BS8 1SS, Avon, England; Univ Liege, Lab Phys Atmospher &amp; Planetaire, B-4000 Liege, Belgium; Free Univ Brussels, Dept Geog, B-1050 Brussels, Belgium; Univ Alberta, Edmonton, AB T6G 2E3, Canada</t>
  </si>
  <si>
    <t>University of Bristol; University of Liege; Universite Libre de Bruxelles; University of Alberta</t>
  </si>
  <si>
    <t>Tranter, M (corresponding author), Univ Bristol, Sch Geog Sci, Bristol Glaciol Ctr, Bristol BS8 1SS, Avon, England.</t>
  </si>
  <si>
    <t>M.Tranter@bristol.ac.uk</t>
  </si>
  <si>
    <t>Tranter, Martyn/E-3722-2010; Huybrechts, Philippe/J-5278-2013</t>
  </si>
  <si>
    <t>Tranter, Martyn/0000-0003-2071-3094; Huybrechts, Philippe/0000-0003-1406-0525</t>
  </si>
  <si>
    <t>0921-8181</t>
  </si>
  <si>
    <t>GLOBAL PLANET CHANGE</t>
  </si>
  <si>
    <t>Glob. Planet. Change</t>
  </si>
  <si>
    <t>PII S0921-8181(02)00067-X</t>
  </si>
  <si>
    <t>10.1016/S0921-8181(02)00067-X</t>
  </si>
  <si>
    <t>572XT</t>
  </si>
  <si>
    <t>WOS:000176800800012</t>
  </si>
  <si>
    <t>Fregin, T; Wiese, K</t>
  </si>
  <si>
    <t>The photophores of Meganyctiphanes norvegica (M. Sars) (Euphausiacea):: mode of operation</t>
  </si>
  <si>
    <t>HELGOLAND MARINE RESEARCH</t>
  </si>
  <si>
    <t>Euphausiacea; Meganyctiphanes; bioluminescence; serotonin; control of photophores</t>
  </si>
  <si>
    <t>VERTICAL MIGRATION; CONTAINING NEURONS; ANTARCTIC KRILL; CRAYFISH; BIOLUMINESCENCE; LUMINESCENCE; FIREFLIES; BEHAVIOR; SUPERBA; IDENTIFICATION</t>
  </si>
  <si>
    <t>The photophores of Meganyctiphanes were investigated with regard to the control of light production and with respect to their role in a hitherto unknown communication system using light flashes which became evident from observation of specialised signalling behaviour. To that purpose the light production was recorded during presentation of a range of stimuli delivered to the intact, tethered shrimp. Stimuli used were changes in ambient light, water turbulence, simulated predator approach and light flashes, as well as electric shocks and serotonin injections. Strong negative light gradients, exaggerating the natural sunset signal, reliably elicited light production, the peak of which lasted on average 2 min. In the late phase of this light production, low frequency water oscillations and turbulent flow (assumed intraspecific communication signals at close range) elicited transient increases in light production. Artificial light flashes presented to a group of shrimp evoked a signalling behaviour in which the animal points the light of its photophore beamers (positioned at the ventral side and normally directed downwards) for a fraction of a second at observers within the same depth level. The responses produced by the signalling behaviour indicate a fixed delay with respect to the triggering flash. Electric stimulation of the ventral nerve cord via implanted electrodes resulted in a strong light production with a latency of 160 ms. Injection of serotonin, resulting in haemolymph concentrations of 10(-5) M and higher, initiated increasingly strong and increasingly long-lasting continuous light production. Implications for the control of the photophores are discussed.</t>
  </si>
  <si>
    <t>Univ Hamburg, Inst Zool, D-20146 Hamburg, Germany; Univ Hamburg, Zool Museum, D-20146 Hamburg, Germany</t>
  </si>
  <si>
    <t>University of Hamburg; University of Hamburg</t>
  </si>
  <si>
    <t>Univ Hamburg, Inst Zool, Martin Luther King Pl 3, D-20146 Hamburg, Germany.</t>
  </si>
  <si>
    <t>kwiese@zoologie.uni-hamburg.de</t>
  </si>
  <si>
    <t>BMC</t>
  </si>
  <si>
    <t>CAMPUS, 4 CRINAN ST, LONDON N1 9XW, ENGLAND</t>
  </si>
  <si>
    <t>1438-387X</t>
  </si>
  <si>
    <t>1438-3888</t>
  </si>
  <si>
    <t>HELGOLAND MAR RES</t>
  </si>
  <si>
    <t>Helgoland Mar. Res.</t>
  </si>
  <si>
    <t>10.1007/s10152-002-0104-4</t>
  </si>
  <si>
    <t>Marine &amp; Freshwater Biology; Oceanography</t>
  </si>
  <si>
    <t>573NX</t>
  </si>
  <si>
    <t>WOS:000176838700004</t>
  </si>
  <si>
    <t>Montiel, A; Hilbig, B; Rozbaczylo, N</t>
  </si>
  <si>
    <t>New records to Chile of the Family Paraonidae (Annelida: Polychaeta)</t>
  </si>
  <si>
    <t>Polychaeta; Paraonidae; new records; Chile</t>
  </si>
  <si>
    <t>The Paraonidae are a polychaete family of small body size which have not been reported for Chile until recently. Mainly due to improved sample-processing methods, research campaigns carried out in 1994 and 1996 on three areas off southern Chile have yielded numerous records. Several species proved to be new to the Chilean polychaete fauna, including species that have been known previously only from Antarctic areas. These new records and range extensions are reported in this paper.</t>
  </si>
  <si>
    <t>Univ Magallanes, Inst Patagonia, Punta Arenas, Chile; Alfred Wegener Inst Polar &amp; Marine Res, D-27568 Bremerhaven, Germany; Inst Zool, D-20146 Hamburg, Germany; Zool Museum, D-20146 Hamburg, Germany; Pontificia Univ Catolica Chile, Fac Ciencias Biol, Dept Ecol, Santiago, Chile</t>
  </si>
  <si>
    <t>Universidad de Magallanes; Helmholtz Association; Alfred Wegener Institute, Helmholtz Centre for Polar &amp; Marine Research; Pontificia Universidad Catolica de Chile</t>
  </si>
  <si>
    <t>Montiel, A (corresponding author), Univ Magallanes, Inst Patagonia, Casilla 113-D, Punta Arenas, Chile.</t>
  </si>
  <si>
    <t>Montiel, Americo/0000-0002-2644-4879</t>
  </si>
  <si>
    <t>10.1007/s10152-002-0103-5</t>
  </si>
  <si>
    <t>WOS:000176838700006</t>
  </si>
  <si>
    <t>Zhao, YH; Liu, AK; Long, DG</t>
  </si>
  <si>
    <t>Validation of sea ice motion from QuikSCAT with those from SSM/I and buoy</t>
  </si>
  <si>
    <t>IEEE TRANSACTIONS ON GEOSCIENCE AND REMOTE SENSING</t>
  </si>
  <si>
    <t>QuikSCAT; sea ice motion; special sensor nucrowave/imager (SSM/I); wavelet transform</t>
  </si>
  <si>
    <t>WAVELET ANALYSIS; DRIFT</t>
  </si>
  <si>
    <t>Arctic sea ice motion for the period from October 1999 to March 2000 derived from QuikSCAT and special sensor microwave/imager (SSM/I) data using the wavelet analysis method agrees well with ocean buoy observations. Results from QuikSCAT and SSM/I are compatible when compared with buoy observations and complement each other. Sea ice drift merged from daily results from QuikSCAT, SSM/I, and buoy data gives more complete coverage of sea ice motion. Based on observations of six months of sea ice motion maps, the sea ice motion maps in the Arctic derived from QuikSCAT data appear to have smoother (less noisy) patterns than those from NSCAT, especially in boundary areas, possibly due to constant radar scanning incidence angle. For late summer, QuikSCAT data can provide good sea ice motion information in the Arctic as early as the beginning of September. For early summer, QuikSCAT can provide at least partial sea ice motion information until mid-June. In the Antarctic, a case study shows that sea ice motion derived from QuikSCAT data is consistent with pressure field contours.</t>
  </si>
  <si>
    <t>NASA, Goddard Space Flight Ctr, Oceans &amp; Ice Branch, Greenbelt, MD 20771 USA; Brigham Young Univ, Dept Elect &amp; Comp Engn, Provo, UT 84602 USA</t>
  </si>
  <si>
    <t>National Aeronautics &amp; Space Administration (NASA); NASA Goddard Space Flight Center; Brigham Young University</t>
  </si>
  <si>
    <t>Zhao, YH (corresponding author), NASA, Goddard Space Flight Ctr, Oceans &amp; Ice Branch, Greenbelt, MD 20771 USA.</t>
  </si>
  <si>
    <t>Long, David G./K-4908-2015</t>
  </si>
  <si>
    <t>Long, David G./0000-0002-1852-3972</t>
  </si>
  <si>
    <t>IEEE-INST ELECTRICAL ELECTRONICS ENGINEERS INC</t>
  </si>
  <si>
    <t>345 E 47TH ST, NEW YORK, NY 10017-2394 USA</t>
  </si>
  <si>
    <t>0196-2892</t>
  </si>
  <si>
    <t>IEEE T GEOSCI REMOTE</t>
  </si>
  <si>
    <t>IEEE Trans. Geosci. Remote Sensing</t>
  </si>
  <si>
    <t>10.1109/TGRS.2002.800442</t>
  </si>
  <si>
    <t>Geochemistry &amp; Geophysics; Engineering, Electrical &amp; Electronic; Remote Sensing; Imaging Science &amp; Photographic Technology</t>
  </si>
  <si>
    <t>Geochemistry &amp; Geophysics; Engineering; Remote Sensing; Imaging Science &amp; Photographic Technology</t>
  </si>
  <si>
    <t>578JR</t>
  </si>
  <si>
    <t>WOS:000177114500005</t>
  </si>
  <si>
    <t>Gent, PR; Craig, AP; Bitz, CM; Weatherly, JW</t>
  </si>
  <si>
    <t>Parameterization improvements in an eddy-permitting ocean model for climate</t>
  </si>
  <si>
    <t>JOURNAL OF CLIMATE</t>
  </si>
  <si>
    <t>ANTARCTIC CIRCUMPOLAR CURRENT; ATLANTIC-OCEAN; SYSTEM MODEL; CIRCULATION; TRANSPORT; SIMULATION; VERSION</t>
  </si>
  <si>
    <t>Different parameterizations for vertical mixing and the effects of ocean mesoscale eddies are tested in an eddy-permitting ocean model. It has a horizontal resolution averaging about 0.7degrees and was used as the ocean component of the parallel climate model. The old ocean parameterizations used in that coupled model were replaced by the newer parameterizations used in the climate system model. Both ocean-alone and fully coupled integrations were run for at least 100 years. The results clearly show that the drifts in the upper-ocean temperature profile using the old parameterizations are substantially reduced in both sets of integrations using the newer parameterizations. The sea-ice distribution in the fully coupled integration using the newer ocean parameterizations is also improved. However, the sea-ice distribution is sensitive to both sea-ice parameterizations and the atmospheric forcing, in addition to being dependent on the ocean simulation. The newer ocean parameterizations have been shown to improve considerably the solutions in non-eddy-resolving configurations, such as in the climate system model, where the horizontal resolution of the ocean component is about 28. The work presented here is a clear demonstration that the improvements continue into the eddy-permitting regime, where the ocean component has an average horizontal resolution of less than 1degrees.</t>
  </si>
  <si>
    <t>Natl Ctr Atmospher Res, Boulder, CO 80307 USA; Polar Sci Ctr, Appl Phys Lab, Seattle, WA USA; USA, Cold Reg Res &amp; Engn Lab, Hanover, NH 03755 USA</t>
  </si>
  <si>
    <t>National Center Atmospheric Research (NCAR) - USA; United States Department of Defense; United States Army; U.S. Army Corps of Engineers; U.S. Army Engineer Research &amp; Development Center (ERDC); Cold Regions Research &amp; Engineering Laboratory (CRREL)</t>
  </si>
  <si>
    <t>Natl Ctr Atmospher Res, POB 3000, Boulder, CO 80307 USA.</t>
  </si>
  <si>
    <t>gent@ucar.edu</t>
  </si>
  <si>
    <t>Bitz, Cecilia M/S-8423-2016</t>
  </si>
  <si>
    <t>Bitz, Cecilia/0000-0002-9477-7499</t>
  </si>
  <si>
    <t>AMER METEOROLOGICAL SOC</t>
  </si>
  <si>
    <t>BOSTON</t>
  </si>
  <si>
    <t>45 BEACON ST, BOSTON, MA 02108-3693 USA</t>
  </si>
  <si>
    <t>0894-8755</t>
  </si>
  <si>
    <t>1520-0442</t>
  </si>
  <si>
    <t>J CLIMATE</t>
  </si>
  <si>
    <t>J. Clim.</t>
  </si>
  <si>
    <t>10.1175/1520-0442(2002)015&lt;1447:PIIAEP&gt;2.0.CO;2</t>
  </si>
  <si>
    <t>552UM</t>
  </si>
  <si>
    <t>WOS:000175638500005</t>
  </si>
  <si>
    <t>Brodeur, JC; Peck, LS; Johnston, IA</t>
  </si>
  <si>
    <t>Feeding increases MyoD and PCNA expression in myrogenic progenitor cells of Notothenia coriiceps</t>
  </si>
  <si>
    <t>JOURNAL OF FISH BIOLOGY</t>
  </si>
  <si>
    <t>myogenic precursor; satellite cell; SDA; MyoD; myogenin; Antarctic fish</t>
  </si>
  <si>
    <t>MUSCLE SATELLITE CELLS; SKELETAL-MUSCLE; PROTEIN-SYNTHESIS; ANTARCTIC FISH; CHANNEL CATFISH; DYNAMIC ACTION; GROWTH; DEATH; TEMPERATURE; RICHARDSON</t>
  </si>
  <si>
    <t>Oxygen consumption and ammonia excretion of the Antarctic fish Notothenia corikeps (18.4 cm L-F) increased respectively two and fourfold above fasting levels 24 h after feeding with a single meal of shrimps (5.5 to 7.5% of body mass), and remained elevated for 120 h. In fasted fish, c-met positive cells in the fast muscle represented 5.5% of the total number of myonuclei. The number of c-met positive cells staining for the proliferating cell nuclear antigen was increased by 60% both 24 and 96 h after the meal, while the number of cells expressing the myogenic transcription factor, MyoD, was increased by 20% after 24 h, and by 44% after 96 h. The total numbers of c-met positive cells and cells expressing myogenin were not significantly altered 96 h following feeding. The results are consistent with an activation of myogenic progenitor cells proliferation by feeding but suggest a relatively long cell cycle time. (C) 2002 The Fisheries Society of the British Isles. Published by Elsevier Science Ltd. All rights reserved.</t>
  </si>
  <si>
    <t>Univ St Andrews, Sch Biol, Div Environm &amp; Evolutionary Biol, Gatty Marine Lab, St Andrews KY16 8LB, Fife, Scotland; British Antarctic Survey, Cambridge CB3 0ET, England</t>
  </si>
  <si>
    <t>University of St Andrews; UK Research &amp; Innovation (UKRI); Natural Environment Research Council (NERC); NERC British Antarctic Survey</t>
  </si>
  <si>
    <t>Brodeur, JC (corresponding author), CADIC, CC92, RA-9410 Ushuaia, Tierra Del Fueg, Argentina.</t>
  </si>
  <si>
    <t>Brodeur, Julie Céline/I-6576-2019; Johnston, Ian A/D-6592-2013; Johnston, Ian A./AAE-2044-2019</t>
  </si>
  <si>
    <t>Brodeur, Julie Céline/0000-0001-5408-6645;</t>
  </si>
  <si>
    <t>ACADEMIC PRESS LTD ELSEVIER SCIENCE LTD</t>
  </si>
  <si>
    <t>24-28 OVAL RD, LONDON NW1 7DX, ENGLAND</t>
  </si>
  <si>
    <t>0022-1112</t>
  </si>
  <si>
    <t>J FISH BIOL</t>
  </si>
  <si>
    <t>J. Fish Biol.</t>
  </si>
  <si>
    <t>10.1006/jfbi.2002.2007</t>
  </si>
  <si>
    <t>Fisheries; Marine &amp; Freshwater Biology</t>
  </si>
  <si>
    <t>600RW</t>
  </si>
  <si>
    <t>WOS:000178406000010</t>
  </si>
  <si>
    <t>Lee, AM; Jones, RL; Kilbane-Dawe, I; Pyle, JA</t>
  </si>
  <si>
    <t>Diagnosing ozone loss in the extratropical lower stratosphere</t>
  </si>
  <si>
    <t>JOURNAL OF GEOPHYSICAL RESEARCH-ATMOSPHERES</t>
  </si>
  <si>
    <t>stratospheric ozone loss; polar subvortex; Lagrangian-mean diagnostics</t>
  </si>
  <si>
    <t>POLAR VORTEX; ANTARCTIC VORTEX; LIDAR OBSERVATIONS; SOUTH-POLE; DEPLETION; MODEL; TROPOSPHERE; CHLORINE; EDGE; PERMEABILITY</t>
  </si>
  <si>
    <t>[1] Chemical ozone loss in the Southern Hemisphere lower stratosphere during winter and spring 1996 is investigated using a three-dimensional chemical transport model. Model diagnostic quantities are developed to determine the underlying chemical mechanisms controlling the distribution of ozone. These diagnostic tracers quantify the ozone change due to individual catalytic cycles or reaction mechanisms that form or destroy ozone. Results from these tracers confirm the importance of halogens not only in the development of the ozone hole but also in midlatitude ozone depletion of which almost 50% is due to cycles involving halogens. The dominant chemical ozone loss mechanism in the middle latitudes is due to the cycle whose rate determining step involves the bimolecular collision between HO2 and O-3. Observational evidence from ozonesonde measurements shows substantial ozone depletion in the polar subvortex region (altitudes below similar to14 km). These measurements also indicate that this ozone depletion must be due, at least in part, to in situ chemical ozone loss. Model results show that over a quarter of the ozone depletion associated with the ozone hole resides at subvortex altitudes. Diagnostic tracers designed to quantify ozone loss occurring above and below the subvortex transition altitude show that the majority of this ozone depletion is in situ ozone loss. Furthermore, at altitudes below the subvortex transition, polar ozone loss is efficiently transported to middle latitudes, where it contributes to midlatitude ozone decline.</t>
  </si>
  <si>
    <t>Univ Cambridge, Dept Chem, Ctr Atmospher Sci, Cambridge CB2 1EW, England; Cambridge Environm Res Consultants Ltd, Cambridge CB2 1SJ, England</t>
  </si>
  <si>
    <t>University of Cambridge</t>
  </si>
  <si>
    <t>Lee, AM (corresponding author), Univ Cambridge, Dept Chem, Ctr Atmospher Sci, Lensfield Rd, Cambridge CB2 1EW, England.</t>
  </si>
  <si>
    <t>Jones, Roderic/0000-0002-6761-3966</t>
  </si>
  <si>
    <t>0747-7309</t>
  </si>
  <si>
    <t>J GEOPHYS RES-ATMOS</t>
  </si>
  <si>
    <t>J. Geophys. Res.-Atmos.</t>
  </si>
  <si>
    <t>D11</t>
  </si>
  <si>
    <t>10.1029/2001JD000538</t>
  </si>
  <si>
    <t>609HN</t>
  </si>
  <si>
    <t>WOS:000178897700023</t>
  </si>
  <si>
    <t>Li, SH; Cordero, EC; Karoly, DJ</t>
  </si>
  <si>
    <t>Transport out of the Antarctic polar vortex from a three-dimensional transport model</t>
  </si>
  <si>
    <t>transport; polar vortex; mass flux; dilution effect</t>
  </si>
  <si>
    <t>METEOROLOGYS GLOBAL ASSIMILATION; SHAPE-PRESERVING INTERPOLATION; GENERAL-CIRCULATION MODEL; SEMI-LAGRANGIAN TRANSPORT; TOTAL OZONE; POTENTIAL VORTICITY; LOWER STRATOSPHERE; PREDICTION SYSTEM; MIDDLE ATMOSPHERE; BREAKING</t>
  </si>
  <si>
    <t>[1] A three-dimensional chemical transport model is utilized to study the transport out of the Antarctic polar vortex during the southern hemisphere spring. On average, over five consecutive years between 1993 and 1997, horizontal transport out of the vortex into the midlatitude stratosphere is smaller than vertical transport into the troposphere. However, there is significant interannual variability in the magnitude of mass exchange, which is related to year-to-year fluctuations in planetary wave activity. In 1994 the net loss of the vortex tracer mass in September is similar to that in October. However, the relative mass flux entering the midlatitude stratosphere and the troposphere differ between the two months. The ratio of horizontal transport out of the vortex to vertical transport into the troposphere is about 3: 7 in September and 5: 5 in October, indicating the higher permeability of the vortex in October compared to September. The September mass flux into the troposphere is larger than in October, consistent with the fact that stronger diabatic cooling occurs in September than October over Antarctica. The estimated ozone change at southern midlatitudes due to the intrusion of ozone-depleted air from high latitudes during September-October 1994 is about 0.44% per decade, which could contribute up to 10% of observed ozone decline at southern midlatitudes in spring. This amount is an underestimate of the dilution effect from high latitudes during the spring season, as it does not include the vortex breakup in late spring.</t>
  </si>
  <si>
    <t>Li, SH (corresponding author), NASA, Goddard Space Flight Ctr, UMBC, Goddard Earth Sci &amp; Technol Ctr, Code 910-4, Greenbelt, MD 20771 USA.</t>
  </si>
  <si>
    <t>Karoly, David/C-8262-2011</t>
  </si>
  <si>
    <t>Karoly, David/0000-0002-8671-2994</t>
  </si>
  <si>
    <t>10.1029/2001JD000508</t>
  </si>
  <si>
    <t>Green Submitted, Green Published, Bronze</t>
  </si>
  <si>
    <t>WOS:000178897700001</t>
  </si>
  <si>
    <t>Naithani, J; Gallée, H; Schayes, G</t>
  </si>
  <si>
    <t>Marine air intrusion into the Adelie Land sector of East Antarctica:: A study using the regional climate model (MAR) -: art. no. 4124</t>
  </si>
  <si>
    <t>Antarctic climate; marine air intrusion; mesoscale modeling; katabatic winds; cyclones; blocking anticyclones</t>
  </si>
  <si>
    <t>HIGH SOUTHERN LATITUDES; KATABATIC WINDS; BOUNDARY-LAYER; FROST PROJECT; WATER-VAPOR; ROSS SEA; SIMULATION; TRANSPORT; INTERIOR; REGCM2</t>
  </si>
  <si>
    <t>[1] Marine air intrusion and subsequent cloud formation plays a dominant role in the energy budget and mass balance of the Antarctic. However, the intrusion is very difficult to understand using the ground-based measurements alone. In this paper we present simulations of marine air intrusion into the Adelie Land, East Antarctica, using the Modele Atmospherique Regional (MAR), for July 1994 and January 1995. The model is nested into the European Centre for Medium-Range Weather Forecasts (ECMWF) analyses. The simulations show a strong influence of large-scale disturbances, over the ocean, which helped in the penetration of marine air into the interior and the formation of clouds. Each marine air intrusion episode resulted in cloud formation in July 1994. Blocking anticyclones have also been found to be responsible for much of the moisture transport far into the interior elevated locations. MAR simulations, as well as ECMWF analyses, show influence of cyclones in strengthening and prolonging the surface layer flow. The study also indicated that the influence of depressions on surface winds is pronounced during the period when the depression is approaching the Adelie Land coast.</t>
  </si>
  <si>
    <t>Univ Catholique Louvain, Inst Astron &amp; Geophys Georges Lemaitre, B-1348 Louvain, Belgium; Inst Rech Pour Dev, LTHE, F-38041 Grenoble 9, France</t>
  </si>
  <si>
    <t>Universite Catholique Louvain; Communaute Universite Grenoble Alpes; Institut National Polytechnique de Grenoble; Universite Grenoble Alpes (UGA); Centre National de la Recherche Scientifique (CNRS); Institut de Recherche pour le Developpement (IRD)</t>
  </si>
  <si>
    <t>Naithani, J (corresponding author), Univ Catholique Louvain, Inst Astron &amp; Geophys Georges Lemaitre, Chemin Cyclotron 2, B-1348 Louvain, Belgium.</t>
  </si>
  <si>
    <t>10.1029/2000JD000274</t>
  </si>
  <si>
    <t>WOS:000178897700009</t>
  </si>
  <si>
    <t>Ricard, V; Jaffrezo, JL; Kerminen, VM; Hillamo, RE; Sillanpaa, M; Ruellan, S; Liousse, C; Cachier, H</t>
  </si>
  <si>
    <t>Two years of continuous aerosol measurements in northern Finland</t>
  </si>
  <si>
    <t>aerosol chemistry; northern latitudes; seasonal cycles; organic species</t>
  </si>
  <si>
    <t>COASTAL ANTARCTIC AEROSOL; COMMUNITY CLIMATE MODEL; ATMOSPHERIC AEROSOL; DICARBOXYLIC-ACIDS; BLACK CARBON; CHEMICAL-COMPOSITION; TROPOSPHERIC OZONE; SIZE DISTRIBUTION; CARBOXYLIC-ACIDS; MARINE AEROSOLS</t>
  </si>
  <si>
    <t>[1] An investigation of aerosol chemistry was carried out at Sevettijarvi in Finnish Lapland between September 1997 and June 1999. Aerosol particles were collected on a 2-day basis using two-stage virtual impactors and were analyzed with ion chromatography for major inorganic cations and anions and for a suite of organic acids. Aerosols were also sampled in parallel on a 4-day basis for the analysis of organic carbon (OC) and black carbon (BC). The average total mass is about 3 mug m(-3) and does not significantly vary according to the season or the type of air mass. The major chemical components are sulfate, sea salts, and organic carbon, which account together for more than 80% of the total aerosol mass. BC, ammonium, nitrate, methanesulfonic acid, and the estimated crustal fraction each accounts for a few percent at most in any situation. Non-sea-salt (nss) sulfate concentrations are maximum during late winter and spring, related to the Arctic haze, associated with increased concentrations in BC, ammonium, and nss K+. The organic fraction is at its lowest in winter, as are the concentrations of most organic acids. OC and short-chain organic acid concentrations increase during springtime, which may be due to enhanced photochemistry at polar sunrise. The chemical profile is rather different during summer, with a strong decrease of the anthropogenic fraction and a larger occurrence of episodic marine events. However, the main characteristic is the very large increase in OC concentrations, which is the main component of the aerosol at that time and may be linked with local and regional enhanced biogenic activity. The aerosol at Sevettijarvi presents some specificity compared with other Arctic sites, with a much smaller impact of Arctic haze and marine events in winter and a much larger impact of biogenic sources in summer. The low contribution of the crustal fraction indicates low occurrences of transport of desert dust from Eurasia. The time series of concentrations indicate a large variability in the chemical profiles on short timescales, linked with changes in the origin of the air masses. It shows that even purely marine aerosol still comprises about 10% of nss sulfate associated with BC and OC. The profile in the continental case is largely dominated by nss sulfate, with strong increases in the ammonium and BC fractions.</t>
  </si>
  <si>
    <t>Lab Glaciol &amp; Geophys Environm, F-38402 St Martin Dheres, France; Finnish Meteorol Inst, FIN-00810 Helsinki, Finland; Lab Sci Climat &amp; Environm, F-91198 Gif Sur Yvette, France</t>
  </si>
  <si>
    <t>Finnish Meteorological Institute; CEA; Centre National de la Recherche Scientifique (CNRS); Universite Paris Saclay</t>
  </si>
  <si>
    <t>Lab Glaciol &amp; Environm, 54 Rue Moliere, F-38402 St Martin Dheres, France.</t>
  </si>
  <si>
    <t>jaffrezo@glaciog.ujf-grenoble.fr</t>
  </si>
  <si>
    <t>Kerminen, Veli-Matti/M-9026-2014; Sillanpää, Mika E T/G-1366-2011; jaffrezo, jean-luc/HIU-0016-2022</t>
  </si>
  <si>
    <t>Sillanpää, Mika E T/0000-0003-3247-5337; Sillanpaa, Markus/0000-0002-9445-0955</t>
  </si>
  <si>
    <t>2169-897X</t>
  </si>
  <si>
    <t>2169-8996</t>
  </si>
  <si>
    <t>10.1029/2001JD000952</t>
  </si>
  <si>
    <t>WOS:000178897700004</t>
  </si>
  <si>
    <t>Renfrew, IA; King, JC; Markus, T</t>
  </si>
  <si>
    <t>Coastal polynyas in the southern Weddell Sea: Variability of the surface energy budget</t>
  </si>
  <si>
    <t>JOURNAL OF GEOPHYSICAL RESEARCH-OCEANS</t>
  </si>
  <si>
    <t>polynyas; sea ice; Weddell Sea; surface energy budget; surface fluxes; high-salinity shelf water</t>
  </si>
  <si>
    <t>INTERNAL BOUNDARY-LAYER; NCEP-NCAR REANALYSIS; COLD-AIR OUTBREAK; ICE SHELF; ARCTIC-OCEAN; HEAT-FLUX; WATER; ANTARCTICA; FROST; BENEATH</t>
  </si>
  <si>
    <t>[1] The surface energy budget of coastal polynyas in the southern Weddell Sea has been evaluated for the period 1992-1998 using a combination of satellite observations, meteorological data, and simple physical models. The study focuses on polynyas that habitually form off the Ronne Ice Shelf. The coastal polynya areal data are derived from an advanced multichannel polynya detection algorithm applied to passive microwave brightness temperatures. The surface sensible and latent heat fluxes are calculated via a fetch-dependent model of the convective-thermal internal boundary layer. The radiative fluxes are calculated using well-established empirical formulae and an innovative cloud model. Standard meteorological variables that are required for the flux calculations are taken from automatic weather stations and from the National Centers for Environmental Production/National Center for Atmospheric Research reanalyses. The 7 year surface energy budget shows an overall oceanic warming due to the presence of coastal polynyas. For most of the period the summertime oceanic warming, due to the absorption of shortwave radiation, is approximately in balance with the wintertime oceanic cooling. However, the anomalously large summertime polynya of 1997-1998 allowed a large oceanic warming of the region. Wintertime freezing seasons are characterized by episodes of high heat fluxes interspersed with more quiescent periods and controlled by coastal polynya dynamics. The high heat fluxes are primarily due to the sensible heat flux component, with smaller complementary latent and radiative flux components. The average freezing season area-integrated energy exchange is 3.48 x 10(19) J, with contributions of 63, 22, and 15% from the sensible, latent, and radiative components, respectively. The average melting season area-integrated energy exchange is -5.31 x 10(19) J, almost entirely due to the radiative component. There is considerable interannual variability in the surface energy budget. The standard deviation of the energy exchange during the freezing (melting) season is 28% (95%) of the mean. During the freezing season, positive surface heat fluxes are equated with ice production rates. The average annual coastal polynya ice production is 1.11 x 10(11) m(3) (or 24 m per unit area), with a range from 0.71 x 10(11) (in 1994) to 1.55 x 10(11) m(3) (in 1995). This can be compared to the estimated total ice production for the entire Weddell Sea: on average the coastal polynya ice production makes up 6.08% of the total, with a range from 3.65 (in 1994) to 9.11% (in 1995).</t>
  </si>
  <si>
    <t>British Antarctic Survey, Cambridge CB3 0ET, England; NASA, Goddard Space Flight Ctr, Greenbelt, MD 20771 USA</t>
  </si>
  <si>
    <t>UK Research &amp; Innovation (UKRI); Natural Environment Research Council (NERC); NERC British Antarctic Survey; National Aeronautics &amp; Space Administration (NASA); NASA Goddard Space Flight Center</t>
  </si>
  <si>
    <t>i.renfrew@bas.ac.uk</t>
  </si>
  <si>
    <t>Markus, Thorsten/D-5365-2012; Renfrew, Ian A/E-4057-2010</t>
  </si>
  <si>
    <t>Renfrew, Ian/0000-0001-9379-8215</t>
  </si>
  <si>
    <t>2169-9275</t>
  </si>
  <si>
    <t>2169-9291</t>
  </si>
  <si>
    <t>J GEOPHYS RES-OCEANS</t>
  </si>
  <si>
    <t>J. Geophys. Res.-Oceans</t>
  </si>
  <si>
    <t>C6</t>
  </si>
  <si>
    <t>10.1029/2000JC000720</t>
  </si>
  <si>
    <t>611AD</t>
  </si>
  <si>
    <t>Green Accepted, Green Submitted</t>
  </si>
  <si>
    <t>WOS:000178993500001</t>
  </si>
  <si>
    <t>Rabinowicz, M; Briais, A</t>
  </si>
  <si>
    <t>Temporal variations of the segmentation of slow to intermediate spreading mid-ocean ridges - 2. A three-dimensional model in terms of lithosphere accretion and convection within the partially molten mantle beneath the ridge axis</t>
  </si>
  <si>
    <t>JOURNAL OF GEOPHYSICAL RESEARCH-SOLID EARTH</t>
  </si>
  <si>
    <t>mid-ocean ridge; mantle convection; ridge segmentation; gravity lineations; oceanic crust; mantle melting</t>
  </si>
  <si>
    <t>AUSTRALIAN-ANTARCTIC DISCORDANCE; LOW-VISCOSITY ZONE; MIDOCEAN RIDGES; ATLANTIC RIDGE; VARIABLE VISCOSITY; THERMAL STRUCTURE; MELT PERCOLATION; MAGMA MIGRATION; SOLITARY WAVES; FLOW</t>
  </si>
  <si>
    <t>[1] We present three-dimensional numerical models of convection within the partially molten mantle beneath the ridge axis. The modeling takes into account the cavity flow driven by plate spreading, the diffuse upwelling due to plate accretion, and the shearing movement generated by large-scale mantle flow. The ridge axis is free to move in the spreading direction to adjust to the maxima of tension at the lithosphere-mantle interface induced by the convective circulation. The melt distribution in the mantle and the crustal production at the ridge axis are estimated using the formalism of McKenzie and Bickle [1988]. During the experiments the record of the ridge axis positions and crustal production is used to compute synthetic maps of the isochrons and oceanic crustal thickness. Close to the ridge, the ascending convective flow consists of 80- to 100-km-long hot sheets oriented either roughly parallel or orthogonal to spreading. Most ridge segments fit with the top of hot upwelling sheets, while transient transform faults coincide with the top of cold downwelling flows. The crustal maps display lineations subparallel or slightily oblique to spreading, a few tens of million years long, and separated by similar to60-50 km, resulting from the lithospheric record of the excess crust produced at the junction of hot sheets. When a junction of two hot sheets migrates outside the ridge axial plane, the crustal thickness maximum splits into two maxima along axis, and the induced lineation in the crustal map splits into two branches. The merging of lineations occurs when the ridge plane traps the junction of hot sheets. When the large-scale mantle circulation moves parallel to the ridge crest, it slowly pushs the spreading-parallel convective sheets. The resulting lineations form V shapes pointing in the same direction as the large-scale flow. When the large-scale flow parallels spreading, it slowly pushes the ridge-parallel hot sheets in the upflow direction. Thus the ridge segments attached to these hot sheets also migrate in the upflow direction. After several tens of million years the cavity flow driven by the spreading closes most of the transform segments and collects most of the ridge segments to form large continuous lines quasi-orthogonal to spreading. Using the relationships between crustal lineations and convective flow in the models, we interpret the lineations described in the satellite-derived gravity maps on the flanks of the Atlantic, Indian, and South Pacific plate boundaries analyzed in the companion paper by Briais and Rabinowicz [2002].</t>
  </si>
  <si>
    <t>Observ Midi Pyrenees, UMR 5562, Lab Dynam Terr &amp; Planetaire, F-31400 Toulouse, France; Observ Midi Pyrenees, Lab Etud Geophys &amp; Oceanog Spatiales, CNRS, UMR 5566, F-31400 Toulouse, France</t>
  </si>
  <si>
    <t>Universite de Toulouse; Universite Toulouse III - Paul Sabatier; Universite de Toulouse; Universite Toulouse III - Paul Sabatier; Centre National de la Recherche Scientifique (CNRS); Institut de Recherche pour le Developpement (IRD); Laboratoire d'Etudes en Geophysique et oceanographie spatiales; CNRS - National Institute for Earth Sciences &amp; Astronomy (INSU)</t>
  </si>
  <si>
    <t>Rabinowicz, M (corresponding author), Observ Midi Pyrenees, UMR 5562, Lab Dynam Terr &amp; Planetaire, 14 Ave Edouard Belin, F-31400 Toulouse, France.</t>
  </si>
  <si>
    <t>Michel.Rabinowicz@cnes.fr; Anne.Briais@cnes.fr</t>
  </si>
  <si>
    <t>Briais, Anne/I-1492-2017</t>
  </si>
  <si>
    <t>Briais, Anne/0000-0002-0040-6348</t>
  </si>
  <si>
    <t>2169-9313</t>
  </si>
  <si>
    <t>2169-9356</t>
  </si>
  <si>
    <t>J GEOPHYS RES-SOL EA</t>
  </si>
  <si>
    <t>J. Geophys. Res.-Solid Earth</t>
  </si>
  <si>
    <t>B6</t>
  </si>
  <si>
    <t>10.1029/2001JB000343</t>
  </si>
  <si>
    <t>610YZ</t>
  </si>
  <si>
    <t>WOS:000178990800018</t>
  </si>
  <si>
    <t>Hart, AJ; Bale, JS; Tullett, AG; Worland, MR; Walters, KFA</t>
  </si>
  <si>
    <t>Effects of temperature on the establishment potential of the predatory mite Amblyseius Californicus McGregor (Acari: Phytoseiidae) in the UK</t>
  </si>
  <si>
    <t>JOURNAL OF INSECT PHYSIOLOGY</t>
  </si>
  <si>
    <t>Amblyseius californicus; Tetranychus urticae; cold tolerance; temperature; biological control</t>
  </si>
  <si>
    <t>DIAPAUSE INDUCTION; COLD HARDINESS; GREENHOUSE</t>
  </si>
  <si>
    <t>Amblyseius californicus was introduced into the UK in the early 1990s as a biocontrol agent against glasshouse red spider mite Tetranychus urticae. This study investigated the effects of temperature on the establishment potential of A. californicus in the UK in the light of recent reports of their successful overwintering outside of glasshouse environments. The developmental thresholds were 9.9 and 8.6 degreesC respectively using simple and weighted linear regression. Using the day-degree requirement per generation calculated by weighted regression (143 day-degrees) in combination with climate data, it was estimated that up to seven generations would be possible annually outdoors in the UK. Non-diapausing adult females froze at -22 degreesC, with 100% mortality after reaching their freezing temperature. Up to 90% of mites died before freezing after short exposures to low temperatures. Significant acclimation responses occurred; 90% of acclimated individuals survived 26 days exposure at 0 degreesC and 11 days at -5 degreesC (acclimated mites were reared at 19 degreesC, 6L:18D followed by I week at 10 degreesC, 12L:12D). Non-diapausing adult females survived over 3 months outdoors in winter under sheltered conditions and oviposition was observed. The experimental protocol used in this study is discussed as a pre-release screen for the establishment potential of other Amblyseius species, and similar non-native biocontrol agents. (C) 2002 Elsevier Science Ltd. All rights reserved.</t>
  </si>
  <si>
    <t>Univ Birmingham, Sch Biosci, Birmingham B15 2TT, W Midlands, England; British Antarctic Survey, Cambridge CB3 0ET, England; Cent Sci Lab, York YO41 1LZ, N Yorkshire, England</t>
  </si>
  <si>
    <t>University of Birmingham; UK Research &amp; Innovation (UKRI); Natural Environment Research Council (NERC); NERC British Antarctic Survey; Food &amp; Environment Research Agency</t>
  </si>
  <si>
    <t>Univ Birmingham, Sch Biosci, Birmingham B15 2TT, W Midlands, England.</t>
  </si>
  <si>
    <t>andrew.hart@hri.ac.uk</t>
  </si>
  <si>
    <t>Walters, Keith/AAK-3562-2020</t>
  </si>
  <si>
    <t>0022-1910</t>
  </si>
  <si>
    <t>1879-1611</t>
  </si>
  <si>
    <t>J INSECT PHYSIOL</t>
  </si>
  <si>
    <t>J. Insect Physiol.</t>
  </si>
  <si>
    <t>PII S0022-1910(02)00087-2</t>
  </si>
  <si>
    <t>10.1016/S0022-1910(02)00087-2</t>
  </si>
  <si>
    <t>Entomology; Physiology; Zoology</t>
  </si>
  <si>
    <t>586PL</t>
  </si>
  <si>
    <t>WOS:000177593100001</t>
  </si>
  <si>
    <t>Pugh, PJA; Scott, B</t>
  </si>
  <si>
    <t>Biodiversity and biogeography of non-marine Mollusca on the islands of the Southern Ocean</t>
  </si>
  <si>
    <t>JOURNAL OF NATURAL HISTORY</t>
  </si>
  <si>
    <t>Antarctica; aquatic; biogeography; Bivalvia; colonization; dispersal; Gastropoda; land snail; Mollusca; Southern Ocean; vicariance</t>
  </si>
  <si>
    <t>NEW-ZEALAND; LAND SNAILS; GASTROPODA; ACARI; WATER; ORIGIN; FRESH; TERRESTRIAL; ANTARCTICA; DISPERSAL</t>
  </si>
  <si>
    <t>There are no terrestrial and freshwater molluscs associated with Continental nor Maritime Antarctica. The malacofaunas of the cool-temperate and sub-Antarctic islands of the Southern Ocean are extremely depauperate, comprising a mere 68 site-records of 51 species from 27 genera in 13 families. The South Atlantic records are confined to the Falkland Islands, which harbour nine species (one bivalve, five pond snails and three terrestrial aliens), and South Georgia, where there is one Notodiscus sp. (Charopidae). The fauna of the South Indian Ocean islands of Prince Edward, Crozet, Kerguelen and Heard, comprises two alien slugs and endemic Notodiscus hookeri (Charopidae). The majority of species occur on the South Pacific Ocean Islands of Macquarie, Campbell, Auckland, Snares, Antipodes, Bounty and Chatham to the south and east of New Zealand. The Chatham fauna is dissimilar to that on the other South Pacific Islands, though both represent vicariant remnants of common South Pacific Is./New Zealand Athoracophoridae, Charopidae and Punctidae. There is, other than the broad South Indian Ocean distribution of Notodiscus hookeri, little evidence of Holocene dispersal and colonization. Indeed the Southern Ocean is an effective barrier and the different regional (South Atlantic/Indian/Pacific) faunas are principally vicariant and derived from local survivors of Pleistocene glaciation.</t>
  </si>
  <si>
    <t>Publicat Primadonnas, Kilgetty SA68 0XG, Pembroke, Wales; Victoria Univ Technol, Sch Life Sci, Melbourne MC, Vic 8001, Australia</t>
  </si>
  <si>
    <t>Victoria University</t>
  </si>
  <si>
    <t>Pugh, PJA (corresponding author), Anglia Polytech Univ, Dept Life Sci, East Rd, Cambridge CB1 1PT, England.</t>
  </si>
  <si>
    <t>p.j.a.pugh@anglia.ac.uk</t>
  </si>
  <si>
    <t>0022-2933</t>
  </si>
  <si>
    <t>1464-5262</t>
  </si>
  <si>
    <t>J NAT HIST</t>
  </si>
  <si>
    <t>J. Nat. Hist.</t>
  </si>
  <si>
    <t>10.1080/00222930110034562</t>
  </si>
  <si>
    <t>Biodiversity Conservation; Ecology; Zoology</t>
  </si>
  <si>
    <t>Biodiversity &amp; Conservation; Environmental Sciences &amp; Ecology; Zoology</t>
  </si>
  <si>
    <t>550NY</t>
  </si>
  <si>
    <t>WOS:000175510200003</t>
  </si>
  <si>
    <t>Pugh, PJA; Dartnall, HJG; Mcinnes, SJ</t>
  </si>
  <si>
    <t>The non-marine Crustacea of Antarctica and the Islands of the Southern Ocean: biodiversity and biogeography</t>
  </si>
  <si>
    <t>Amphipoda; Anomopoda; Antarctica; biogeography; Cladocera; Copepoda; Crustacea; diversity; island; Isopoda; Ostracoda; Southern Ocean</t>
  </si>
  <si>
    <t>FRESH-WATER COPEPODS; DAPHNIOPSIS-STUDERI; PASSIVE DISPERSAL; VESTFOLD-HILLS; ACANTHOCYCLOPS-VERNALIS; PLEUROXUS ANOMOPODA; SIZE DISTRIBUTION; GENERA BOECKELLA; LAKE-SEDIMENTS; GENUS</t>
  </si>
  <si>
    <t>A total of 101 verified species and eight ordinal taxa represent the non-marine Crustacea on Antarctica and the islands of the Southern Ocean. The largely terrestrial Isopoda and Amphipoda are confined to some sub-Antarctic and cool temperate islands while the predominantly freshwater Anostraca, Anomopoda, Copepoda (=Calanoida, Cyclopoida, Harpacticoida) and Ostracoda (Podocopida) occur throughout the region. Holocene sea-level rises fragmented freshwater and terrestrial species ranges on New Zealand, Auckland, Campbell, and possibly other South Pacific islands, leaving a legacy of vicariant taxa. Tertiary species probably survived Pleistocene glaciation in aquatic refugia on the New Zealand/South Pacific, Falkland, Crozet and Kerguelen archipelagoes, but there are no valid records of Tertiary Antarctic Crustacea. All 40 Continental and Maritime Antarctic freshwater records can be ascribed to the historic introduction of anthropogenic aliens, Holocene immigration of colonists, returning re-colonists and marine species 'marooned' in epishelf and other coastal lakes.</t>
  </si>
  <si>
    <t>Macquarie Univ, Dept Biol Sci, N Ryde, NSW 2109, Australia; British Antarctic Survey, Cambridge CB3 0ET, England</t>
  </si>
  <si>
    <t>Macquarie University; UK Research &amp; Innovation (UKRI); Natural Environment Research Council (NERC); NERC British Antarctic Survey</t>
  </si>
  <si>
    <t>Anglia Polytech Univ, Dept Biol Sci, East Rd, Cambridge CB1 1PT, England.</t>
  </si>
  <si>
    <t>McInnes, Sandra/AAN-4773-2020</t>
  </si>
  <si>
    <t>McInnes, Sandra/0000-0003-3403-9379</t>
  </si>
  <si>
    <t>Natural Environment Research Council [bas010011] Funding Source: researchfish; NERC [bas010011] Funding Source: UKRI</t>
  </si>
  <si>
    <t>Natural Environment Research Council(UK Research &amp; Innovation (UKRI)Natural Environment Research Council (NERC)); NERC(UK Research &amp; Innovation (UKRI)Natural Environment Research Council (NERC))</t>
  </si>
  <si>
    <t>10.1080/00222930110039602</t>
  </si>
  <si>
    <t>555MK</t>
  </si>
  <si>
    <t>WOS:000175797700003</t>
  </si>
  <si>
    <t>Aoki, S; Shibuya, K; Masuyama, A; Ozawa, T; Doi, K</t>
  </si>
  <si>
    <t>Evaluation of seasonal sea level variation at Syowa Station, Antarctica, using GPS observations</t>
  </si>
  <si>
    <t>JOURNAL OF OCEANOGRAPHY</t>
  </si>
  <si>
    <t>sea level; seasonal variation; GPS; bottom pressure gauge; Antarctica</t>
  </si>
  <si>
    <t>LUTZOW-HOLM BAY</t>
  </si>
  <si>
    <t>Global Positioning System (GPS) measurements of the vertical displacement of fast ice near Syowa Station, Antarctica, were conducted between April and December 1998 to evaluate measurements of sea level variation derived with a conventional bottom pressure gauge (BPG). The BPG-derived sea level revealed a seasonal variation of about 0.13 m, with a high in April-June and a low in November-December. The GPS-derived sea level, combined with observed sea ice thickness, supported the BPG result, with an RMS error of 0.007 m. Our result also demonstrates that GPS is a powerful technique for monitoring sea level variations.</t>
  </si>
  <si>
    <t>Natl Inst Polar Res, Ctr Antarctic Environm Monitoring, Itabashi Ku, Tokyo 1738515, Japan; Japan Coast Guard, Hydrogeog Dept, Chuo Ku, Tokyo 1040045, Japan</t>
  </si>
  <si>
    <t>Research Organization of Information &amp; Systems (ROIS); National Institute of Polar Research (NIPR) - Japan</t>
  </si>
  <si>
    <t>Aoki, S (corresponding author), Natl Inst Polar Res, Ctr Antarctic Environm Monitoring, Itabashi Ku, Tokyo 1738515, Japan.</t>
  </si>
  <si>
    <t>Aoki, Shigeru/D-9105-2012</t>
  </si>
  <si>
    <t>TERRA SCIENTIFIC PUBL CO</t>
  </si>
  <si>
    <t>2003 SANSEI JIYUGAOKA HAIMU, 5-27-19 OKUSAWA, SETAGAYA-KU, TOKYO, 158, JAPAN</t>
  </si>
  <si>
    <t>0916-8370</t>
  </si>
  <si>
    <t>J OCEANOGR</t>
  </si>
  <si>
    <t>J. Oceanogr.</t>
  </si>
  <si>
    <t>10.1023/A:1021269416767</t>
  </si>
  <si>
    <t>554HF</t>
  </si>
  <si>
    <t>WOS:000175729200009</t>
  </si>
  <si>
    <t>Murphy, DT; Collerson, KD; Kamber, BS</t>
  </si>
  <si>
    <t>Lamproites from Gaussberg, Antarctica: Possible transition zone melts of Archaean subducted sediments</t>
  </si>
  <si>
    <t>JOURNAL OF PETROLOGY</t>
  </si>
  <si>
    <t>lamproites; Pb isotopes; mantle Transition Zone; subducted sediment; anomalous mantle reservoirs</t>
  </si>
  <si>
    <t>LITHOSPHERIC MANTLE; TRACE-ELEMENTS; AGE-DETERMINATIONS; CONTINENTAL-CRUST; ISOTOPIC EVIDENCE; RE-OS; ROCKS; LEAD; ND; GEOCHEMISTRY</t>
  </si>
  <si>
    <t>Petrogenetic models for the origin of lamproites are evaluated using new major element, trace element, and Sr, Nd, and Pb isotope data for Holocene lamproites from the Gaussberg volcano in the East Antarctic Shield. Gaussberg lamproites exhibit very unusual Pb isotope compositions (Pb-206/Pb-204 = 17.44-17.55 and Pb-207/Pb-204 = 15.56-15.63), which in common Pb isotope space plot above mantle evolution lines and to the left of the meteorite isochron. Combined with very unradiogenic Nd, such compositions are shown to be inconsistent with an origin by melting of sub-continental lithospheric mantle. Instead, a model is proposed in which late Archaean continent-derived sediment is subducted as K-hollandite and other ultra-high-pressure phases and sequestered in the Transition Zone (or lower mantle) where it is effectively isolated for 2-3 Gyr. The high Pb-207/Pb-204 ratio is thus inherited from ancient continent-derived sediment, and the relatively low Pb-206/Pb-204 ratio is the result of a single stage of U/Pb fractionation by subduction-related U loss during slab dehydration. Sr and Nd isotope ratios, and trace element characteristics (e.g. Nb/Ta ratios) are consistent with sediment subduction and dehydration-related fractionation. Similar models that use variable time of isolation of subducted sediment can be derived for all lamproites. Our interpretation of lamproite sources has important implications for ocean island basalt petrogenesis as well as the preservation of geochemically anomalous reservoirs in the mantle.</t>
  </si>
  <si>
    <t>Univ Queensland, Dept Earth Sci, ACQUIRE, Brisbane, Qld 4072, Australia</t>
  </si>
  <si>
    <t>University of Queensland</t>
  </si>
  <si>
    <t>Univ Queensland, Dept Earth Sci, ACQUIRE, Steele Bldg,St Lucia Campus, Brisbane, Qld 4072, Australia.</t>
  </si>
  <si>
    <t>d.murphy@earth.uq.edu.au</t>
  </si>
  <si>
    <t>Kamber, Balz/A-1823-2008</t>
  </si>
  <si>
    <t>Kamber, Balz/0000-0002-8720-0608; Murphy, David/0000-0002-1585-4311</t>
  </si>
  <si>
    <t>OXFORD UNIV PRESS</t>
  </si>
  <si>
    <t>GREAT CLARENDON ST, OXFORD OX2 6DP, ENGLAND</t>
  </si>
  <si>
    <t>0022-3530</t>
  </si>
  <si>
    <t>1460-2415</t>
  </si>
  <si>
    <t>J PETROL</t>
  </si>
  <si>
    <t>J. Petrol.</t>
  </si>
  <si>
    <t>10.1093/petrology/43.6.981</t>
  </si>
  <si>
    <t>563HC</t>
  </si>
  <si>
    <t>WOS:000176249400003</t>
  </si>
  <si>
    <t>Doney, SC; Hecht, MW</t>
  </si>
  <si>
    <t>Antarctic bottom water formation and deep-water chlorofluorocarbon distributions in a global ocean climate model</t>
  </si>
  <si>
    <t>JOURNAL OF PHYSICAL OCEANOGRAPHY</t>
  </si>
  <si>
    <t>BOUNDARY-LAYER PARAMETERIZATION; WESTERN NORTH-ATLANTIC; SEA-ICE; SYSTEM MODEL; CIRCULATION MODEL; SOUTHERN-OCEAN; Z-COORDINATE; WEDDELL SEA; HYDROGRAPHIC SECTION; CARBON-DIOXIDE</t>
  </si>
  <si>
    <t>The ocean distributions of chlorofluorocarbons (CFCs) have been measured extensively in order to determine the mechanisms, rates, and pathways associated with thermohaline deep-water formation. Model temperature, salinity, and CFC-11 fields from the National Center for Atmospheric Research (NCAR) global ocean climate model are compared against observations with emphasis on the patterns of Antarctic Bottom Water (AABW) production, properties, and circulation in the Southern Ocean. The model control simulation forms deep water as observed in both the Weddell and Ross Seas, though not along other sectors of the Antarctic coast. Examination of the deep water CFC-11 distribution, total inventory, and profiles along individual observational sections demonstrates that the decadal-scale deep-water ventilation in the model Southern Ocean is both too weak and too restricted to the Ross and Weddell Sea source regions. A series of sensitivity experiments is conducted to determine the factors contributing to these deficiencies. The incorporation of a simple bottom boundary layer (BBL) scheme leads to only minor reductions in overall model-data error. The limited impact of the BBL may reflect in part other model large-scale circulation problems, for example, the lack of saline Circumpolar Deep Water along the Antarctic slope, and the coarse vertical resolution of the model. The surface boundary conditions in the permanent sea-ice-covered regions are a more major factor, leading to inadequate formation of dense, cold, and relatively saline shelf water, the precursors of AABW. Improved model-data agreement is found by combining the BBL parameterization with reasonably small adjustments in the surface restoring salinities on the Weddell and Ross Shelfs, justified by undersampling of winter conditions in standard climatologies. The modified salinities result in increased AABW production and enhanced signature of shelf water properties in the deep Southern Ocean similar in character to the effect of coupling with an active sea ice model.</t>
  </si>
  <si>
    <t>Natl Ctr Atmospher Res, Boulder, CO 80307 USA</t>
  </si>
  <si>
    <t>National Center Atmospheric Research (NCAR) - USA</t>
  </si>
  <si>
    <t>Doney, SC (corresponding author), Natl Ctr Atmospher Res, POB 3000, Boulder, CO 80307 USA.</t>
  </si>
  <si>
    <t>doney@ncar.ucar.edu</t>
  </si>
  <si>
    <t>Doney, Scott/F-9247-2010</t>
  </si>
  <si>
    <t>Doney, Scott/0000-0002-3683-2437</t>
  </si>
  <si>
    <t>0022-3670</t>
  </si>
  <si>
    <t>J PHYS OCEANOGR</t>
  </si>
  <si>
    <t>J. Phys. Oceanogr.</t>
  </si>
  <si>
    <t>10.1175/1520-0485(2002)032&lt;1642:ABWFAD&gt;2.0.CO;2</t>
  </si>
  <si>
    <t>555WN</t>
  </si>
  <si>
    <t>WOS:000175816400003</t>
  </si>
  <si>
    <t>Moore, GWK; Alverson, K; Renfrew, IA</t>
  </si>
  <si>
    <t>A reconstruction of the air-sea interaction associated with the Weddell polynya</t>
  </si>
  <si>
    <t>OCEAN DEEP CONVECTION; SOUTHERN-OCEAN; ANTARCTIC PRECIPITATION; TEMPERATURE; REANALYSIS; EXCHANGE; MODEL; ZONE; HEAT; NCEP</t>
  </si>
  <si>
    <t>A recent major climatic event was the occurrence of approximately 350 000 square kilometers of open water in the normally ice covered Weddell Sea near Antarctica during the winters of 1974-76. Within this polynya there was vigorous air-sea interaction resulting in the densification of the surface waters, a convective overturning of the water column, and the formation of large amounts of Antarctic Bottom Water. In order to further our understanding of this important event, the NCEP-NCAR reanalysis dataset is used to reconstruct the air-sea interaction associated with this polynya. The reconstruction shows that the polynya had a profound impact on the surface meteorology of the region. Surface air temperatures over the polynya were on the order of 20degreesC warmer than climatology. Total cloud cover over the polynya was 50% higher than climatology. The magnitude of the monthly mean sensible and latent heat fluxes during the winter months were on the order of 150 and 50 W m(-2), respectively, while precipitation was on the order of 1 mm day(-1). Furthermore, the reconstructed air-sea fluxes are highly variable in time with instantaneous values 5-10 times larger than monthly mean values. A cross-correlation analysis suggests that much of this variability can be attributed to the passage of transient synoptic-scale weather systems. The reconstructed buoyancy flux within the polynya during winter was on average negative, indicating that the surface waters were becoming denser thereby driving oceanic convection and Antarctic Bottom Water formation. Nevertheless there were instances when the buoyancy flux was positive. During these events, the freshwater flux due to precipitation was larger than the effect of cooling, thus resulting in a reduction in the density of the surface waters of the polynya. The integrated buoyancy flux over the winter period exceeds a previous estimate by 30%-40%, suggesting that the oceanic convection that took place as a result of the existence of the polynya may have been significantly more vigorous than previously thought.</t>
  </si>
  <si>
    <t>Univ Toronto, Dept Phys, Toronto, ON M5S 1A7, Canada; PAGES Int Project Off, Bern, Switzerland; British Antarctic Survey, Div Phys Sci, Cambridge CB3 0ET, England</t>
  </si>
  <si>
    <t>University of Toronto; UK Research &amp; Innovation (UKRI); Natural Environment Research Council (NERC); NERC British Antarctic Survey</t>
  </si>
  <si>
    <t>Moore, GWK (corresponding author), Univ Toronto, Dept Phys, 60 St George St, Toronto, ON M5S 1A7, Canada.</t>
  </si>
  <si>
    <t>Renfrew, Ian A/E-4057-2010; Alverson, Keith/JRX-4301-2023; Moore, George Kent/D-8518-2011</t>
  </si>
  <si>
    <t>Moore, George Kent/0000-0002-3986-5605; Renfrew, Ian/0000-0001-9379-8215</t>
  </si>
  <si>
    <t>10.1175/1520-0485(2002)032&lt;1685:AROTAS&gt;2.0.CO;2</t>
  </si>
  <si>
    <t>Green Accepted, Bronze</t>
  </si>
  <si>
    <t>WOS:000175816400005</t>
  </si>
  <si>
    <t>Wadhams, P; Parmiggiani, F; de Carolis, G</t>
  </si>
  <si>
    <t>The use of SAR to measure ocean wave dispersion in frazil-pancake icefields</t>
  </si>
  <si>
    <t>SYNTHETIC-APERTURE RADAR; MARGINAL ICE-ZONE; SEA; ATTENUATION; SPECTRA; PROPAGATION; RETRIEVAL; VELOCITY; FIELD</t>
  </si>
  <si>
    <t>Icefields composed of frazil and pancake ice play important roles in both polar regions in winter. During the early to midwinter period pancake ice is a major component of the Antarctic sea ice cover, while in the Arctic the Odden ice tongue in the Greenland Sea, associated with deep convection, is composed mainly of pancake ice. The retrieval of sea ice thickness by remote sensing is, in general, a very difficult task. In this paper the change in dispersion of ocean waves as they penetrate into pancake ice is considered so as to gain insight into its possible relationship with thickness. Spectral analysis of subscenes from ERS-2 (second European Remote Sensing Satellite) synthetic aperture radar (SAR) images yields the wavelength and direction of the principal spectral component both outside and inside the ice cover. There is a decrease of wavelength at the ice edge, as well as refraction toward the normal and a loss of amplitude. The analysis is complex because the true wave spectrum must be retrieved from the SAR spectrum, involving an inversion technique that requires a first-guess'' spectrum. This analysis technique is described, together with a newer cross-spectral technique and a discussion of the wave theories that predict the change in wavelength. Results are reported from two experiments in the Odden ice tongue, in 1993 and 1997, both of which involved surface truth measurements from ships and wave buoys. In the Antarctic, results are reported from imagery of the outer ice-edge zone of the Weddell Sea sector in midwinter (July) 1997.</t>
  </si>
  <si>
    <t>Univ Cambridge, Scott Polar Res Inst, Cambridge CB2 1ER, England; CNR, Ist Atmosfera &amp; Oceano, I-40126 Bologna, Italy; CNR, Ist Tecnol Informat Spaziale, Matera, Italy</t>
  </si>
  <si>
    <t>University of Cambridge; Consiglio Nazionale delle Ricerche (CNR); Consiglio Nazionale delle Ricerche (CNR)</t>
  </si>
  <si>
    <t>Univ Cambridge, Scott Polar Res Inst, Lensfield Rd, Cambridge CB2 1ER, England.</t>
  </si>
  <si>
    <t>pw11@cam.ac.uk</t>
  </si>
  <si>
    <t>De+Carolis, Giacomo/AAW-8826-2020</t>
  </si>
  <si>
    <t>De+Carolis, Giacomo/0000-0002-0523-9446</t>
  </si>
  <si>
    <t>1520-0485</t>
  </si>
  <si>
    <t>10.1175/1520-0485(2002)032&lt;1721:TUOSTM&gt;2.0.CO;2</t>
  </si>
  <si>
    <t>WOS:000175816400007</t>
  </si>
  <si>
    <t>Arhan, M; Garabato, ACN; Heywood, KJ; Stevens, DP</t>
  </si>
  <si>
    <t>The Antarctic Circumpolar Current between the Falkland Islands and South Georgia</t>
  </si>
  <si>
    <t>WATER MASSES; DEEP-WATER; SOUTHWESTERN ATLANTIC; ARGENTINE BASIN; DRAKE PASSAGE; BRAZIL BASIN; CIRCULATION; OCEAN; BOUNDARY; TRANSPORT</t>
  </si>
  <si>
    <t>Hydrographic and lowered acoustic Doppler current profiler data along a line from the Falkland Islands to South Georgia via the Maurice Ewing Bank are used to estimate the flow of circumpolar water into the Argentine Basin, and to study the interaction of the Antarctic Circumpolar Current with the Falkland Plateau. The estimated net transport of 129 +/- 21 Sv (Sv = 10(6) m(3) s(-1)) across the section is shared between three major current bands. One is associated with the Subantarctic Front (SAF; 52 +/- 6 Sv), and the other two with branches of the Polar Front (PF) over the sill of the Falkland Plateau (44 +/- 9 Sv) and in the northwestern Georgia Basin (45 6 9 Sv). The latter includes a local reinforcement (similar to20 Sv) by a deep anticyclonic recirculation around the Maurice Ewing Bank. While the classical hydrographic signature of the PF stands out in this eastbound branch, it is less distinguishable in the northbound branch over the plateau. Other circulation features are a southward entrainment of diluted North Atlantic Deep Water from the Argentine Basin over the eastern part of the Falkland Plateau, and an abyssal anticyclonic flow in the western Georgia Basin, opposite to what was generally assumed. The different behavior of the SAF and PF at the Falkland Plateau (no structural modification of the former and partitioning of the latter) is attributed to the PF being deeper than the sill depth on the upstream side of the plateau, unlike the SAF. It is suggested that the partitioning takes place at a location where the 2500-m and 3000-m isobaths diverge at the southern edge of the plateau. The western branch of the PF crosses the plateau at a distance of similar to250 km to the east of the SAF. Comparison with a section across the Falkland Current farther downstream shows that its deep part subsequently joins the SAF on the northern side of the plateau where the 2000-3000 m isobaths converge in the steep Falkland Escarpment. The result of this two-stage bathymetric effect is a net transfer of at least 10 Sv from the PF to the SAF at the crossing of the Falkland Plateau.</t>
  </si>
  <si>
    <t>IFREMER Brest, UBO, CNRS, Lab Phys Oceans, F-29280 Plouzane, France; Univ E Anglia, Sch Environm Sci, Norwich NR4 7TJ, Norfolk, England; Univ E Anglia, Sch Math, Norwich NR4 7TJ, Norfolk, England</t>
  </si>
  <si>
    <t>Universite de Bretagne Occidentale; Centre National de la Recherche Scientifique (CNRS); Ifremer; Institut de Recherche pour le Developpement (IRD); University of East Anglia; University of East Anglia</t>
  </si>
  <si>
    <t>Arhan, M (corresponding author), IFREMER Brest, UBO, CNRS, Lab Phys Oceans, BP 70, F-29280 Plouzane, France.</t>
  </si>
  <si>
    <t>Garabato, Alberto Naveira/AAQ-1114-2020; Stevens, David/F-2509-2010; Heywood, Karen/L-1757-2016</t>
  </si>
  <si>
    <t>Garabato, Alberto Naveira/0000-0001-6071-605X; Stevens, David/0000-0002-7283-4405; Heywood, Karen/0000-0001-9859-0026</t>
  </si>
  <si>
    <t>10.1175/1520-0485(2002)032&lt;1914:TACCBT&gt;2.0.CO;2</t>
  </si>
  <si>
    <t>Bronze, Green Submitted, Green Accepted</t>
  </si>
  <si>
    <t>WOS:000175816400018</t>
  </si>
  <si>
    <t>Aguilar, A; Borrell, A; Reijnders, PJH</t>
  </si>
  <si>
    <t>Geographical and temporal variation in levels of organochlorine contaminants in marine mammals</t>
  </si>
  <si>
    <t>MARINE ENVIRONMENTAL RESEARCH</t>
  </si>
  <si>
    <t>pollution; organochlorine compounds; PCBs; DDTs; cetaceans; pinnipeds; geographical variation; temporal trends; review</t>
  </si>
  <si>
    <t>BOTTLE-NOSED DOLPHINS; SEALS PHOCA-VITULINA; WHALES DELPHINAPTERUS-LEUCAS; PORPOISES PHOCOENA-PHOCOENA; ISOMER-SPECIFIC ANALYSIS; BALTIC GRAY SEAL; GULF-OF-MEXICO; POLYCHLORINATED-BIPHENYLS; PERSISTENT ORGANOCHLORINE; HARBOR SEALS</t>
  </si>
  <si>
    <t>The interpretation of the spatial and temporal patterns of variation in organochlorine concentrations in marine mammal populations is complex because of the lack of wide-scale, long-term surveys. Therefore the results from several surveys must be combined and this causes undesired heterogeneity due to differences in the sampling and analytical techniques used and in the biological characteristics of the individuals sampled. Moreover, information is not homogeneously distributed in either space or in time. Most research is concentrated in western Europe, northern America and certain areas of Asia, while it is extremely limited or non-existent in Africa and most regions of the southern hemisphere. Marine mammals from the temperate fringe of the northern hemisphere, particularly fish-eating species which inhabit the mid-latitudes of Europe and North America, show the greatest organochlorine loads; noteworthy are the extremely high levels found in the Mediterranean Sea and certain locations on the western coasts of the United States. Concentrations in the tropical and equatorial fringe of the northern hemisphere and throughout the southern hemisphere are low or extremely low. The polar regions of both hemispheres showed the lowest concentrations of DDTs and PCBs, although levels of HCHs, chlordanes and HCB were moderate to high in the cold waters of the North Pacific. During recent decades, concentrations have tended to decrease in the regions where pollution was initially high but they have increased in regions located far from the pollution source as a consequence of atmospheric transport and redistribution. It is expected that the Arctic and, to a lesser extent, the Antarctic, will become major sinks for organochlorines in the future; this process may already be significant for some compounds such as HCB and HCHs. Effort should be devoted to both assessment of organochlorine trends in the now, highly polluted Populations of the temperate fringe of the northern hemisphere and to the implementation of long-term monitoring of marine mammal populations inhabiting polar regions. (C) 2002 Elsevier Science Ltd. All rights reserved.</t>
  </si>
  <si>
    <t>Univ Barcelona, Dept Anim Biol, E-08028 Barcelona, Spain; Univ Barcelona, GRUMM, E-08028 Barcelona, Spain; Inst Forestry &amp; Nat Res, Dept Aquat Ecol, NL-1790 AD Den Burg, Netherlands</t>
  </si>
  <si>
    <t>University of Barcelona; University of Barcelona</t>
  </si>
  <si>
    <t>Univ Barcelona, Dept Anim Biol, Parc Cient Barcelona, E-08028 Barcelona, Spain.</t>
  </si>
  <si>
    <t>alexa@bio.ub.es</t>
  </si>
  <si>
    <t>Vivia, Ariel/JAO-4693-2023; Borrell, Asunción/B-8257-2009; Aguilar, Alex/L-1283-2014</t>
  </si>
  <si>
    <t>Borrell, Asunción/0000-0002-6714-0724; Aguilar, Alex/0000-0002-5751-2512; reijnders, peter/0000-0002-3783-8283</t>
  </si>
  <si>
    <t>0141-1136</t>
  </si>
  <si>
    <t>1879-0291</t>
  </si>
  <si>
    <t>MAR ENVIRON RES</t>
  </si>
  <si>
    <t>Mar. Environ. Res.</t>
  </si>
  <si>
    <t>PII S0141-0036(01)00128-3</t>
  </si>
  <si>
    <t>10.1016/S0141-1136(01)00128-3</t>
  </si>
  <si>
    <t>Environmental Sciences; Marine &amp; Freshwater Biology; Toxicology</t>
  </si>
  <si>
    <t>Environmental Sciences &amp; Ecology; Marine &amp; Freshwater Biology; Toxicology</t>
  </si>
  <si>
    <t>544XV</t>
  </si>
  <si>
    <t>WOS:000175187900001</t>
  </si>
  <si>
    <t>Cullen, D; Baker, I</t>
  </si>
  <si>
    <t>Observation of sulfate crystallites in Vostok accretion ice</t>
  </si>
  <si>
    <t>MATERIALS CHARACTERIZATION</t>
  </si>
  <si>
    <t>EDS; SXT; X-ray topography; SEM</t>
  </si>
  <si>
    <t>SUBGLACIAL LAKE VOSTOK; BENEATH; SHEET</t>
  </si>
  <si>
    <t>Controlled sublimation in a low-vacuum scanning electron microscope has been used to reveal unusual crystalline features in the triple junctions of accretion ice from the Antarctic ice sheet above Lake Vostok. Energy dispersive X-ray microanalysis showed that the features were composed mostly of magnesium, sulfur and oxygen, although small amounts of sodium and calcium were also occasionally observed. Synchrotron X-ray topography showed that the ice grains contained dislocation densities ranging from similar to1 x 10(7) to &gt;1 x 10(10) m(-1). (C) 2002 Elsevier Science Inc. All rights reserved.</t>
  </si>
  <si>
    <t>Dartmouth Coll, Thayer Sch Engn, Hanover, NH 03755 USA</t>
  </si>
  <si>
    <t>Dartmouth College</t>
  </si>
  <si>
    <t>Dartmouth Coll, Thayer Sch Engn, Hanover, NH 03755 USA.</t>
  </si>
  <si>
    <t>daniel.cullen@dartmouth.edu</t>
  </si>
  <si>
    <t>STE 800, 230 PARK AVE, NEW YORK, NY 10169 USA</t>
  </si>
  <si>
    <t>1044-5803</t>
  </si>
  <si>
    <t>1873-4189</t>
  </si>
  <si>
    <t>MATER CHARACT</t>
  </si>
  <si>
    <t>Mater. Charact.</t>
  </si>
  <si>
    <t>PII S1044-5803(02)00273-5</t>
  </si>
  <si>
    <t>10.1016/S1044-5803(02)00273-5</t>
  </si>
  <si>
    <t>Materials Science, Multidisciplinary; Metallurgy &amp; Metallurgical Engineering; Materials Science, Characterization &amp; Testing</t>
  </si>
  <si>
    <t>Materials Science; Metallurgy &amp; Metallurgical Engineering</t>
  </si>
  <si>
    <t>630QP</t>
  </si>
  <si>
    <t>WOS:000180120000002</t>
  </si>
  <si>
    <t>Genthon, C; Krinner, G; Cosme, E</t>
  </si>
  <si>
    <t>Free and laterally nudged antarctic climate of an atmospheric general circulation model</t>
  </si>
  <si>
    <t>MONTHLY WEATHER REVIEW</t>
  </si>
  <si>
    <t>REANALYSES; GCM</t>
  </si>
  <si>
    <t>Because many of the synoptic cyclones south of the 60degreesS parallel originate from 60degreesS and lower latitudes, nudging an atmospheric general circulation model (AGCM) with meteorological analyses at the periphery of the Antarctic region may be expected to exert a strong control on the atmospheric circulation inside the region. Here, the ECMWF reanalyses are used to nudge the atmospheric circulation of the Laboratoire de Meteorologie Dynamique Zoom (LMDZ) stretched-grid AGCM in a 15-yr simulation spanning the 1979-93 period. The horizontal resolution (grid spacing) in the model reaches similar to100 km south of 60degreesS. Nudging is exerted along the 60degreesS parallel, and this is called lateral nudging for the Antarctic region. Nudging is also performed farther north, near 50degrees and 40degreesS, but this is not essential for the results discussed here. Surface pressure and winds in the atmospheric column are nudged without relaxation to maximize control by the meteorological analyses, at the expense of some noise'' confined to the latitudes where nudging is exerted. The performances of lateral nudging are evaluated with respect to station observations, the free (unnudged) model, the ECMWF reanalyses, and in limited instances with respect to nudging the surface pressure only. It is shown that the free model has limited but persistent surface pressure and geopotential defects in the Antarctic region, which are efficiently corrected by lateral nudging. Also, the laterally nudged simulations confirm, and to some extent correct, a geopotential deficiency of the ECMWF reanalyses over the east Antarctic continent previously identified by others. The monthly mean variability of surface climate at several stations along a coast-to-pole transect is analyzed. A significant fraction of the observed variability of surface pressure and temperature is reproduced. The fraction is often less than in the reanalyses. However, the differences are not large considering that the nudged model is forced at distances of hundreds to thousands of kilometers whereas the reanalyses are forced at much shorter distances, in principle right at each station site by the very station data. The variability of surface wind is significantly less well reproduced than that of pressure and temperature in both the nudged model and the reanalyses. Carefully adjusted polar physics in the LMDZ model seems to compensate for a distant observational constraint in the cases when the nudged model results appear similar or even superior to the reanalyses. Lateral nudging is less computationally intensive than global nudging, and it induces realistic variability and chronology while leaving full expression of the model physics in the region of interest. Laterally nudging an AGCM with meteorological analyses can offer complementary value over the analyses themselves, not only by producing additional atmospheric information not available from the analyses, but also by correcting possible regional defects in the analyses.</t>
  </si>
  <si>
    <t>OSUG, CNRS, Lab Glaciol &amp; Geophys Environm, F-38402 St Martin Dheres, France</t>
  </si>
  <si>
    <t>Centre National de la Recherche Scientifique (CNRS)</t>
  </si>
  <si>
    <t>Genthon, C (corresponding author), OSUG, CNRS, Lab Glaciol &amp; Geophys Environm, 54 Rue Moliere,BP 96, F-38402 St Martin Dheres, France.</t>
  </si>
  <si>
    <t>Krinner, Gerhard/AAB-8837-2022; Krinner, Gerhard/A-6450-2011</t>
  </si>
  <si>
    <t>Krinner, Gerhard/0000-0002-2959-5920; Cosme, Emmanuel/0000-0001-7349-6973</t>
  </si>
  <si>
    <t>0027-0644</t>
  </si>
  <si>
    <t>MON WEATHER REV</t>
  </si>
  <si>
    <t>Mon. Weather Rev.</t>
  </si>
  <si>
    <t>10.1175/1520-0493(2002)130&lt;1601:FALNAC&gt;2.0.CO;2</t>
  </si>
  <si>
    <t>546HF</t>
  </si>
  <si>
    <t>Green Submitted, Bronze</t>
  </si>
  <si>
    <t>WOS:000175268100010</t>
  </si>
  <si>
    <t>Pimpirev, C; Ivanov, M; Dimov, D; Nikolov, T</t>
  </si>
  <si>
    <t>First find of the Upper Tithonian ammonite genus Blanfordiceras from the Miers Bluff Formation, Livingston Island, South Shetland Islands</t>
  </si>
  <si>
    <t>NEUES JAHRBUCH FUR GEOLOGIE UND PALAONTOLOGIE-MONATSHEFTE</t>
  </si>
  <si>
    <t>ANTARCTIC PENINSULA</t>
  </si>
  <si>
    <t>The first find of a macrofossil, the age-diagnostic Upper Tithonian ammonite Blanfordiceras sp. (aff. wallichi) is reported from the Miers Bluff Formation (MBF). The presence of this genus is indicative of the Antarctica-specific Blanfordiceras ammonite zone from the middle Upper Tithonian. This zone is an approximate time equivalent of the Mediterranean Paraulacosphinctes transitorius zone. The new Late Tithonian age of the MBF (Hurd Peninsula, Livingston Island) allows to suggest that the MBF is partly synchronous with the Anchorage Formation (Byers Peninsula, Livingston Island), the Nordenskjold and the Latady Formations (Antarctic Peninsula), and thus plays an important role for the Upper Jurassic to Cretaceous depositional history and structural evolution of the South Shetland Islands and of the Antarctic Peninsula.</t>
  </si>
  <si>
    <t>Sofia Univ St Kliment Ohridski, Dept Geol &amp; Geog, BG-1000 Sofia, Bulgaria; Bulgarian Acad Sci, Inst Geol, BG-1113 Sofia, Bulgaria</t>
  </si>
  <si>
    <t>University of Sofia; Bulgarian Academy of Sciences</t>
  </si>
  <si>
    <t>Pimpirev, C (corresponding author), Sofia Univ St Kliment Ohridski, Dept Geol &amp; Geog, 15 Tzar Osvoboditel Blvd, BG-1000 Sofia, Bulgaria.</t>
  </si>
  <si>
    <t>Pimpirev, Christo/0009-0008-1780-006X</t>
  </si>
  <si>
    <t>E SCHWEIZERBARTSCHE VERLAGS</t>
  </si>
  <si>
    <t>STUTTGART</t>
  </si>
  <si>
    <t>NAEGELE U OBERMILLER JOHANNESSTRASSE 3A, D 70176 STUTTGART, GERMANY</t>
  </si>
  <si>
    <t>0028-3630</t>
  </si>
  <si>
    <t>NEUES JAHRB GEOL P-M</t>
  </si>
  <si>
    <t>Neues Jahrb. Geol. Palaontol.-Monatsh.</t>
  </si>
  <si>
    <t>Paleontology</t>
  </si>
  <si>
    <t>561CH</t>
  </si>
  <si>
    <t>WOS:000176118800005</t>
  </si>
  <si>
    <t>Pearce, F</t>
  </si>
  <si>
    <t>The icehouse effect - It's warmer but there's more ice. What's going on in the Antarctic?</t>
  </si>
  <si>
    <t>NEW SCIENTIST</t>
  </si>
  <si>
    <t>News Item</t>
  </si>
  <si>
    <t>REED BUSINESS INFORMATION LTD</t>
  </si>
  <si>
    <t>SUTTON</t>
  </si>
  <si>
    <t>QUADRANT HOUSE THE QUADRANT, SUTTON SM2 5AS, SURREY, ENGLAND</t>
  </si>
  <si>
    <t>0262-4079</t>
  </si>
  <si>
    <t>NEW SCI</t>
  </si>
  <si>
    <t>New Sci.</t>
  </si>
  <si>
    <t>JUN 1</t>
  </si>
  <si>
    <t>558TE</t>
  </si>
  <si>
    <t>WOS:000175982000002</t>
  </si>
  <si>
    <t>Cockell, CS; Airo, A</t>
  </si>
  <si>
    <t>On the plausibility of a UV transparent biochemistry</t>
  </si>
  <si>
    <t>ORIGINS OF LIFE AND EVOLUTION OF THE BIOSPHERE</t>
  </si>
  <si>
    <t>Archean; DNA; photolyase; pi-electron; tryptophan; UVradiation</t>
  </si>
  <si>
    <t>ULTRAVIOLET-RADIATION; ELECTRON-TRANSFER; CRYSTAL-STRUCTURE; EARLY EVOLUTION; DNA PHOTOLYASE; REPAIR; RECOGNITION; TRANSPORT; PROTEINS; DAMAGE</t>
  </si>
  <si>
    <t>Some molecules, particularly aromatics, have high molar extinction coefficients at wavelengths in the damaging ultraviolet radiation region of the spectrum between 200 and 400 nm. Thus, under a UV radiation flux in which these wavelengths are represented, it could be argued that a selection pressure would exist for a UV transparent biochemistry in which they were not represented. This hypothesis is explored using data made available from proteomics, focusing particularly on tryptophan, against which a selection pressure could exist on present-day Earth as a result of its absorbance shoulder at wavelengths greater than 290 nm. The abundance of tryptophan in whole proteomes is lower than expected from the degeneracy of the genetic code. A lower usage of tryptophan is found in the cytochrome c oxidase polypeptide I of UV-exposed organisms compared to nocturnal and subterranean organisms, but not in ATP synthase chain A. Examination of the amino acid composition of photolyase, an enzyme that requires exposure to light to function, shows that the tryptophan abundances exceed those of the total proteome of most organisms and the abundances expected from the degeneracy of the genetic code. This is also true for cytochrome c oxidase, another enzyme that makes extensive use of the electron transfer properties of tryptophan. We suggest that the selection pressure for the use of tryptophan caused, among other factors, by the uses of delocalised pi-electrons that this aromatic provides in active sites and binding motifs outweighs the selection pressure for UV transparency. This trade-off explains the lack of conclusive evidence for a UV transparent selection pressure. We suggest that this trade-off applies to the stacked pi-electrons of DNA. It offers a solution to the long-standing paradox of why the macromolecule responsible for the faithful replication of information has high absorbance in the damaging UV radiation region of the spectrum.</t>
  </si>
  <si>
    <t>British Antarctic Survey, Cambridge, England; Free Univ Berlin, Inst Biochem, D-1000 Berlin, Germany</t>
  </si>
  <si>
    <t>UK Research &amp; Innovation (UKRI); Natural Environment Research Council (NERC); NERC British Antarctic Survey; Free University of Berlin</t>
  </si>
  <si>
    <t>Cockell, CS (corresponding author), British Antarctic Survey, High Cross, Cambridge, England.</t>
  </si>
  <si>
    <t>KLUWER ACADEMIC PUBL</t>
  </si>
  <si>
    <t>0169-6149</t>
  </si>
  <si>
    <t>ORIGINS LIFE EVOL B</t>
  </si>
  <si>
    <t>Orig. Life Evol. Biosph.</t>
  </si>
  <si>
    <t>10.1023/A:1016507810083</t>
  </si>
  <si>
    <t>Biology</t>
  </si>
  <si>
    <t>Life Sciences &amp; Biomedicine - Other Topics</t>
  </si>
  <si>
    <t>576MH</t>
  </si>
  <si>
    <t>WOS:000177008700007</t>
  </si>
  <si>
    <t>Damborenea, SE</t>
  </si>
  <si>
    <t>Early Jurassic bivalves of Argentina Part 3: Superfamilies Monotoldea, Pectinoidea, Plicatuloidea and Dimyoidea</t>
  </si>
  <si>
    <t>PALAEONTOGRAPHICA ABTEILUNG A-PALAOZOOLOGIE-STRATIGRAPHIE</t>
  </si>
  <si>
    <t>bivalvia; Lower Jurassic; Argentina; systematics; biostratigraphy</t>
  </si>
  <si>
    <t>FUNCTIONAL-MORPHOLOGY; PECTINACEA MOLLUSCA; ANTARCTIC PENINSULA; SOUTHWEST PACIFIC; CHLAMYS MOLLUSCA; ANOMIID BIVALVE; NORTHERN CHILE; ELLSWORTH LAND; PECTINIDAE; EVOLUTION</t>
  </si>
  <si>
    <t>This revision of Early Jurassic monotacean, pectinacean, plicatulacean and dimyacean bivalves is based on museum material and extensive own collections from 56 localities in the provinces of in western Argentina. The ammonites from the same or nearby sections provided the key to the stratigraphy. 25 species of bivalves belonging to 19 genera are systematically described. They belong to the fan-lilies Monotidae, Oxytomidae, Asoellidae, Propeamussiidae, Entoliidae, Pectinidae, Terquemiidae, Plicatulidae, Placunopsidae and Dimyidae. The new species Entolium mapuche and Terquemia andina are proposed. All other species are referred to previously known taxa. The systematic affinities of each taxon are discussed. The genus Kolymonectes is placed in the family Propeamussiidae on account of the absence of ctenolium and the inferred presence of an extensive outer prismatic calcitic layer. Similarly, new evidence now points to a close relationship of Raduloneaites to Camptonectes and of Ochotochlamys to the Hyalopecten group of pectinids. The genus Harpax is re-validated and distinguished from Plicatula s.s. by differences in hinge details, relative convexity of valves and ligament. Ten of the species are referred to taxa generally regarded as Tethyan but which in fact have an almost cosmopolitan distribution, even at the species level. The other species belong to distinct South Pacific stocks, one of them has been described from New Zealand: Agerchlamys wunschae (MARWICK), others, such as Otapiria pacifica COVACEVICH &amp; ESCOBAR, Otapiria neuquensis DAMBORENEA, Asoella asapha (LEANZA), Entolium mapuche n. sp. and Harpax rapa (BAYLE &amp; COQUAND) are closely related to South Pacific species, the rest are regionally restricted to southern South America up to now. Some of these belong to genera which were previously thought to be typical to Boreal regions, but their distribution appears now to be bipolar, characterizing an Early Jurassic Austral Realm. To the high latitude Monotidae, already present in the Triassic, certain Pectinidae, Oxytomidae and Plicatulidae were added in the Early Jurassic. Along the East Pacific, the boundaries between Austral and Tethyan Realms lie in the Andean region. An area with mixed bivalve faunas is present in central Argentina and Chile. Further north (northern Chile and Peru) there are very few (if any) Austral elements and the Tethyan influence is more evident. The regional biostratigraphical zonation of the Lower Jurassic based on the vertical ranges of pectinaceans in relatively off-shore facies is discussed, including five Assemblage Zones which have been recognized in Argentina and Chile.</t>
  </si>
  <si>
    <t>Natl Univ La Plata, Museo Ciencias Nat La Plata, Dept Paleontol Invertebrados, RA-1900 La Plata, Argentina</t>
  </si>
  <si>
    <t>National University of La Plata; Museo La Plata</t>
  </si>
  <si>
    <t>Damborenea, SE (corresponding author), Natl Univ La Plata, Museo Ciencias Nat La Plata, Dept Paleontol Invertebrados, Paseo Bosque S-N, RA-1900 La Plata, Argentina.</t>
  </si>
  <si>
    <t>Damborenea, Susana/HTP-0846-2023</t>
  </si>
  <si>
    <t>Damborenea, Susana Ester/0000-0002-2302-9944</t>
  </si>
  <si>
    <t>E SCHWEIZERBARTSCHE VERLAGSBUCHHANDLUNG</t>
  </si>
  <si>
    <t>NAEGELE U OBERMILLER, SCIENCE PUBLISHERS, JOHANNESSTRASSE 3A, D 70176 STUTTGART, GERMANY</t>
  </si>
  <si>
    <t>0375-0442</t>
  </si>
  <si>
    <t>PALAEONTOGR ABT A</t>
  </si>
  <si>
    <t>Palaeontogr. Abt. A</t>
  </si>
  <si>
    <t>1-4</t>
  </si>
  <si>
    <t>+</t>
  </si>
  <si>
    <t>673VD</t>
  </si>
  <si>
    <t>WOS:000182600200001</t>
  </si>
  <si>
    <t>Sephton, MA; Wright, IP; Gilmour, I; de Leeuw, JW; Grady, MM; Pillinger, CT</t>
  </si>
  <si>
    <t>High molecular weight organic matter in martian meteorites</t>
  </si>
  <si>
    <t>PLANETARY AND SPACE SCIENCE</t>
  </si>
  <si>
    <t>Mars; meteorites; organic; ALH 84001; EET A79001; Nakhla</t>
  </si>
  <si>
    <t>POLYCYCLIC AROMATIC-HYDROCARBONS; ISOTOPIC EVIDENCE; AMINO-ACIDS; DELTA-C-13; PYROLYSIS; SEARCH; CARBON; ORIGIN; MARS</t>
  </si>
  <si>
    <t>We have performed an investigation to detect high molecular weight organic matter in martian meteorites. Solvent-extracted samples of two Antarctic finds (ALH 84001, sub-sample 106 and EET A79001, sub-sample 351) and one non-Antarctic fall (Nakhla) were analysed by flash pyrolysis-gas chromatography-mass spectrometry. Results suggest that our sub-sample of ALH 84001 contains no pyrolysable organic matter. In contrast, our samples of EET A79001 and Nakhla contain organic matter of high molecular weight, which releases aromatic and alkylaromatic hydrocarbons, phenol and benzonitrile as major compounds upon pyrolysis. The detection of similar pyrolysis products from Nakhla and EET A79001 indicates that these martian meteorites may have a common high molecular weight organic phase. Carbon isotopic measurements of individual molecules in the Nakhla pyrolysate, by flash pyrolysis-gas chromatography-isotope ratio mass spectrometry, reveal that this high molecular weight organic matter has some similarities to that found in carbonaceous chondrites. At this point, an origin by terrestrial contamination cannot be unequivocally ruled out, but the data seem to support proposals that martian samples contain organic matter originating from meteoritic infall on Mars. The results suggest that a wider, pyrolysis-based study of martian meteorites would be a justifiable use of these precious samples. (C) 2002 Elsevier Science Ltd. All rights reserved.</t>
  </si>
  <si>
    <t>Open Univ, Planetary &amp; Space Sci Res Inst, Milton Keynes MK7 6AA, Bucks, England; Netherlands Inst Sea Res, NL-1790 AB Den Burg, Netherlands; Nat Hist Museum, London SW7 5BD, England</t>
  </si>
  <si>
    <t>Open University - UK; Utrecht University; Royal Netherlands Institute for Sea Research (NIOZ); Natural History Museum London</t>
  </si>
  <si>
    <t>Open Univ, Planetary &amp; Space Sci Res Inst, Milton Keynes MK7 6AA, Bucks, England.</t>
  </si>
  <si>
    <t>m.a.sephton@open.ac.uk</t>
  </si>
  <si>
    <t>de Leeuw, Jan W/F-6471-2011</t>
  </si>
  <si>
    <t>Grady, Monica/0000-0002-4055-533X; Gilmour, Iain/0000-0002-2860-9489; Sephton, Mark/0000-0002-2190-5402</t>
  </si>
  <si>
    <t>0032-0633</t>
  </si>
  <si>
    <t>PLANET SPACE SCI</t>
  </si>
  <si>
    <t>Planet Space Sci.</t>
  </si>
  <si>
    <t>7-8</t>
  </si>
  <si>
    <t>PII S0032-0633(02)00053-5</t>
  </si>
  <si>
    <t>10.1016/S0032-0633(02)00053-3</t>
  </si>
  <si>
    <t>Astronomy &amp; Astrophysics</t>
  </si>
  <si>
    <t>608LC</t>
  </si>
  <si>
    <t>WOS:000178846900007</t>
  </si>
  <si>
    <t>Kock, KH; Jones, CD</t>
  </si>
  <si>
    <t>The biology of the icefish Cryodraco antarcticus Dollo, 1900 (Pisces, Channichthyidae) in the southern Scotia Arc (Antarctica)</t>
  </si>
  <si>
    <t>CHAMPSOCEPHALUS-GUNNARI; ROSS-SEA; MACKEREL ICEFISH; FISH; REPRODUCTION; MITOCHONDRIAL; ISLANDS; DIET</t>
  </si>
  <si>
    <t>The icefish Cryodraco antarcticus is common in deeper waters of the southern Scotia Arc and the high-Antarctic zone. A number of biological features of this species are presented, with new information collected from recent scientific surveys of the South Shetland Islands and South Orkney Islands. The species is closely related to Chaenocephalus aceratus, but can be distinguished by a number of meristic characters. The two species are similar in size, colouration and body shape, and have a number of aspects of their life-cycle in common. such as reproduction, length-weight relationship and diet. These two species appear to occupy a very similar niche in the southern Scotia Are ecosystem. However, Cryodraco antarcticus is less abundant and uses different spatial components of shelf areas, replacing Chaenocephalus aceratus in deeper water and high-Antarctic regions.</t>
  </si>
  <si>
    <t>Bundesforschungsanstalt Fischerei, Inst Seefischerei, D-22767 Hamburg, Germany; NOAA, Natl Marine Fisheries Serv, SW Fisheries Sci Ctr, La Jolla, CA 92038 USA</t>
  </si>
  <si>
    <t>National Oceanic Atmospheric Admin (NOAA) - USA</t>
  </si>
  <si>
    <t>Kock, KH (corresponding author), Bundesforschungsanstalt Fischerei, Inst Seefischerei, Palmaille 9, D-22767 Hamburg, Germany.</t>
  </si>
  <si>
    <t>10.1007/s00300-002-0357-z</t>
  </si>
  <si>
    <t>564UQ</t>
  </si>
  <si>
    <t>WOS:000176332300003</t>
  </si>
  <si>
    <t>Sarà, A; Cerrano, C; Sarà, M</t>
  </si>
  <si>
    <t>Viviparous development in the Antarctic sponge Stylocordyla borealis Loven, 1868</t>
  </si>
  <si>
    <t>MARINE-INVERTEBRATES; COLD-WATER; REPRODUCTION; DEMOSPONGIAE; STRATEGIES; ASTEROIDS; PORIFERA; BENTHOS; SEA</t>
  </si>
  <si>
    <t>The complete larval development of the deepsea sponge Stylocordyla borealis (from eggs to young sponges) was followed in sponges from the Antarctic waters of Terra Nova Bay. S. borealis shows a viviparous strategy which leads to young complete sponges incubated in the mother body, with cortex, spicules and choanocyte chambers. This development can be considered a K-strategy, which is usually employed by deepsea organisms and cold-water benthic invertebrates.</t>
  </si>
  <si>
    <t>Univ Genoa, Dipartimento Studio Terr &amp; Risorse, I-16132 Genoa, Italy</t>
  </si>
  <si>
    <t>Sarà, M (corresponding author), Univ Genoa, Dipartimento Studio Terr &amp; Risorse, Corso Europa 26, I-16132 Genoa, Italy.</t>
  </si>
  <si>
    <t>Cerrano, Carlo/AAF-3557-2019</t>
  </si>
  <si>
    <t>Cerrano, Carlo/0000-0001-9580-5546; Sara, Antonio/0000-0003-4551-1042</t>
  </si>
  <si>
    <t>10.1007/s00300-002-0360-4</t>
  </si>
  <si>
    <t>WOS:000176332300004</t>
  </si>
  <si>
    <t>Hernandez, E; Ferreyra, GA; MacCormack, WP</t>
  </si>
  <si>
    <t>Effect of solar radiation on two Antarctic marine bacterial strains</t>
  </si>
  <si>
    <t>FRESH-WATER PHYTOPLANKTON; ULTRAVIOLET-RADIATION; HYDROGEN-PEROXIDE; UV-RADIATION; SUBSEQUENT RECOVERY; SHORT-TERM; MAJOR ROLE; BACTERIOPLANKTON; MICROORGANISMS; INHIBITION</t>
  </si>
  <si>
    <t>Two Antarctic marine bacterial strains were isolated, characterised and exposed to solar radiation during summer at Potter Cove (King George Island, South Shetland Islands, Antarctica). The effect of photosynthetically available radiation (PAR), ultraviolet-A (UV-A) and ultraviolet-B radiation (UV-B) on viability was studied using petri dishes covered with cut-off filters and providing the following treatments: dark, PAR, PAR + UV-A, PAR + UV-A + UV-B. UV-A and UV-B radiation have similar negative effects on the viability of the two studied strains under high UV irradiance but different sensitivities were observed under low UV irradiance. The regression analysis showed a logarithmic relationship between loss of viability and UV-B dose, with a threshold effect at 4.2 kJ m(-2) (unweighted integrated dose) beyond which there was a &gt; 90% mortality. Hydrogen peroxide in Antarctic seawater under ambient UV radiation reached concentrations up to 1.45 muM. However, assays with one of the bacterial strains showed that there was no detectable effect of hydrogen peroxide over the range 0.5-50 muM, indicating that production of this reactive oxygen species was not directly involved in the observed loss of viability.</t>
  </si>
  <si>
    <t>Inst Antartico Argentino, RA-1010 Buenos Aires, DF, Argentina; Univ Buenos Aires, Fac Ciencias Exactas &amp; Nat, RA-1053 Buenos Aires, DF, Argentina</t>
  </si>
  <si>
    <t>Instituto Antartico Argentino; University of Buenos Aires</t>
  </si>
  <si>
    <t>MacCormack, WP (corresponding author), Inst Antartico Argentino, Cerrito 1248, RA-1010 Buenos Aires, DF, Argentina.</t>
  </si>
  <si>
    <t>Ferreyra, Gustavo Adolfo/0000-0003-1953-5067</t>
  </si>
  <si>
    <t>10.1007/s00300-002-0365-z</t>
  </si>
  <si>
    <t>WOS:000176332300008</t>
  </si>
  <si>
    <t>Mahon, AR; Amsler, CD; McClintock, JB; Baker, BJ</t>
  </si>
  <si>
    <t>Chemo-tactile predator avoidance responses of the common Antarctic limpet Nacella concinna</t>
  </si>
  <si>
    <t>ESCAPE RESPONSES; CHEMICAL ECOLOGY; COMPUTER; BEHAVIOR; DEFENSE; BIOLOGY; SOUND; PREY</t>
  </si>
  <si>
    <t>The Antarctic limpet, Nacella concinna, has the ability to escape predation by the predatory sea star, Neosmilaster georgianus. When the sea star comes into contact with the limpet, the limpet undergoes characteristic behaviors that include extension of its pallial tentacles, raising its shell in a mushroom-like fashion, rotation, and flight. These behaviors were not observed until the sea star physically contacted the limpets and were not induced by the omnivorous sea star, Odontaster validus, which occupies the same habitats as Ne. georgianus. Crude hydrophilic extracts from Ne. georgianus, but not from O. validus, induced the escape behaviors, indicating that this response is chemical as well as tactile. These putative escape behaviors displayed by Na. concinna may contribute to avoidance of predation by Ne. georgianus.</t>
  </si>
  <si>
    <t>Univ Alabama Birmingham, Dept Biol, Birmingham, AL 35294 USA; Univ S Florida, Dept Chem, Tampa, FL 33620 USA</t>
  </si>
  <si>
    <t>University of Alabama System; University of Alabama Birmingham; State University System of Florida; University of South Florida</t>
  </si>
  <si>
    <t>Univ Alabama Birmingham, Dept Biol, Birmingham, AL 35294 USA.</t>
  </si>
  <si>
    <t>amsler@uab.edu</t>
  </si>
  <si>
    <t>Baker, Bill/N-4312-2019</t>
  </si>
  <si>
    <t>Mahon, Andrew/0000-0002-5074-8725; Amsler, Charles/0000-0002-4843-3759</t>
  </si>
  <si>
    <t>10.1007/s00300-002-0368-9</t>
  </si>
  <si>
    <t>WOS:000176332300010</t>
  </si>
  <si>
    <t>Sala, A; Azzali, M; Russo, A</t>
  </si>
  <si>
    <t>Krill of the Ross Sea:: distribution, abundance and demography of Euphausia superba and Euphausia crystallorophias during the Italian Antarctic Expedition (January-February 2000)</t>
  </si>
  <si>
    <t>SCIENTIA MARINA</t>
  </si>
  <si>
    <t>abundance; antarctica; krill; demography; distribution; Euphausia crystallorophias; Euphausia superba; Ross Sea</t>
  </si>
  <si>
    <t>POPULATION; GROWTH; AGE</t>
  </si>
  <si>
    <t>Net samples data from the 1511 Italian Antarctic Oceanographic Cruise (Jan-Feb 2000) A ere analysed to obtain a general picture of the summer distribution pattern, abundance and demography of krill in the western Ross Sea (Antarctica). A midwater sampler-trawl (Hamburg Plankton Net) was used to collect zooplankton and fish larvae, Mean relative biomass of Antarctic krill Euphausia superba. in the area north of Continental Shelf, was 9.3 g/1000 m(3) of filtered water with a mean density of 10.9 ind./1000 m(3). Ice krill Euphausia crystallorophias replaced the Antarctic krill in dominance in the High Antarctic Zone (south of 74degrees), with a mean relative biomass of 3.0 g/1000 m(3) and a mean density of 19.1 ind./1000 m(3). The present data have demonstrated that in the Ross Sea the two species of euphausiid inhabited different areas during the summer period. Oceanographic data indicate that both euphausiid species were found in surface waters. Euphausia crystallorophias in proper Ross Sea water. and Euphausia superba in Antarctic Surface Water. The catch data of Euphausia superba, ere characterised by the complete absence of larval stages, scarce occurrence of juveniles and composed primarily of large adult stages, Whereas the overall length frequency distribution of Euphausia crystallorophias was characterised by a first mode of juvenile individuals and a second mode consisting of sub-adults and adults.</t>
  </si>
  <si>
    <t>CNR, Ist Ric Pesca Martitima, I-60125 Ancona, Italy</t>
  </si>
  <si>
    <t>Consiglio Nazionale delle Ricerche (CNR)</t>
  </si>
  <si>
    <t>Sala, A (corresponding author), CNR, Ist Ric Pesca Martitima, Largo Fiera Della Pesca 1, I-60125 Ancona, Italy.</t>
  </si>
  <si>
    <t>Sala, Antonello/B-8517-2016; Russo, Aniello/A-2319-2010</t>
  </si>
  <si>
    <t>Sala, Antonello/0000-0001-7066-1152; Russo, Aniello/0000-0003-3651-8146</t>
  </si>
  <si>
    <t>INST CIENCIAS MAR BARCELONA</t>
  </si>
  <si>
    <t>BARCELONA</t>
  </si>
  <si>
    <t>PG MARITIM DE LA BARCELONETA, 37-49, 08003 BARCELONA, SPAIN</t>
  </si>
  <si>
    <t>0214-8358</t>
  </si>
  <si>
    <t>SCI MAR</t>
  </si>
  <si>
    <t>Sci. Mar.</t>
  </si>
  <si>
    <t>10.3989/scimar.2002.66n2123</t>
  </si>
  <si>
    <t>Marine &amp; Freshwater Biology</t>
  </si>
  <si>
    <t>557MV</t>
  </si>
  <si>
    <t>Green Submitted, gold</t>
  </si>
  <si>
    <t>WOS:000175913100004</t>
  </si>
  <si>
    <t>Ferguson, SH</t>
  </si>
  <si>
    <t>Using survivorship curves to estimate age of first reproduction in moose Alces alces</t>
  </si>
  <si>
    <t>WILDLIFE BIOLOGY</t>
  </si>
  <si>
    <t>age at maturity; cohort analysis; demography; juvenile mortality; life history; recruitment; survivorship</t>
  </si>
  <si>
    <t>LIFE-HISTORY EVOLUTION; ANTARCTIC FUR SEALS; POPULATION-DYNAMICS; ROE DEER; NATURAL-POPULATIONS; LARGE HERBIVORES; MORTALITY; PREDATION; SURVIVAL; MATURITY</t>
  </si>
  <si>
    <t>Age-specific mortality of large mammals follows a general pattern of high juvenile mortality followed by low adult mortality. I outline a method which models this change in mortality rate to estimate age of maturity in hunted moose Alces alces populations. Kill data indicate that first time reproducers suffer the highest mortality during the hunting season. Cohort analysis of hunter kill data was used to estimate age-specific female moose numbers and annual survival of cohorts over 18-26 years. Age at maturity was defined as age at the inflection point (highest mortality rate) of a third-order log-polynomial of annual survivorship curves. The inflection point demarcates the change in mortality rate between juvenile and adult life stages. Thus, the inflection point represents the greatest moose mortality rate during the hunting season and is likely associated with hunting mortality of inexperienced females accompanied by 6-month-old calves. I tested this method by estimating age of first reproduction (inflection point-0.5 years) and juvenile mortality for 15 Canadian moose populations. Results indicate a wide range of age at maturity (1.7-3.0 years) and percent of juveniles that survive to this age (29-70%). Estimating age at maturity from survivorship curves provides the opportunity to test life-history theory.</t>
  </si>
  <si>
    <t>Lakehead Univ, Fac Forestry &amp; Forest Environm, Thunder Bay, ON P7B 5E1, Canada</t>
  </si>
  <si>
    <t>Lakehead University</t>
  </si>
  <si>
    <t>Lakehead Univ, Fac Forestry &amp; Forest Environm, 955 Oliver Rd, Thunder Bay, ON P7B 5E1, Canada.</t>
  </si>
  <si>
    <t>Steven.Ferguson@lakeheadu.ca</t>
  </si>
  <si>
    <t>RONDE</t>
  </si>
  <si>
    <t>C/O JAN BERTELSEN, GRENAAVEJ 14, KALO, DK-8410 RONDE, DENMARK</t>
  </si>
  <si>
    <t>0909-6396</t>
  </si>
  <si>
    <t>1903-220X</t>
  </si>
  <si>
    <t>WILDLIFE BIOL</t>
  </si>
  <si>
    <t>Wildlife Biol.</t>
  </si>
  <si>
    <t>10.2981/wlb.2002.017</t>
  </si>
  <si>
    <t>Ecology; Zoology</t>
  </si>
  <si>
    <t>Environmental Sciences &amp; Ecology; Zoology</t>
  </si>
  <si>
    <t>566MU</t>
  </si>
  <si>
    <t>WOS:000176432800006</t>
  </si>
  <si>
    <t>Southwell, C; de la Mare, B; Underwood, M; Quartararo, F; Cope, K</t>
  </si>
  <si>
    <t>An automated system to log and process distance sight-resight aerial survey data</t>
  </si>
  <si>
    <t>WILDLIFE SOCIETY BULLETIN</t>
  </si>
  <si>
    <t>aerial survey; data management; density estimation; distance sampling; line transect sampling; mark-recapture; sight-resight sampling</t>
  </si>
  <si>
    <t>LINE TRANSECT SURVEYS; VISIBILITY BIAS; HARBOR PORPOISE; AUSTRALIA; DENSITIES; MODEL</t>
  </si>
  <si>
    <t>Distance sight-resight sampling has particular relevance to aerial surveys, in which height above ground and aircraft speed make the critical assumption of certain detection on the track-line unrealistic. Recent developments in distance sight-resight theory have left practical issues related to data collection as the major impediment to widespread use of distance sight-resight sampling in aerial surveys. We describe and evaluate a system to automatically log, store, and process data from distance sight-resight aerial surveys. The system has a primary digital system and a secondary audio system. The digital system comprises a sighting gun and small keypad for each observer, a global positioning system (GPS) receiver, and an altimeter interface, all linked to a central laptop computer. The gun is used to record time and angle of declination from the horizon of sighted groups of animals as they pass the aircraft. The keypad is used to record information on species and group size. The altimeter interface records altitude from the aircraft's radar altimeter, and the GPS receiver provides location data at user-definable intervals. We wrote software to import data into a database and convert it into a form appropriate for distance sight-resight analyses. Perpendicular distance of sighted groups of animals from the flight path is calculated from altitude and angle of declination. Time, angle of declination, species, and group size of sightings by independent observers on the same side of the aircraft are used as criteria to classify single and duplicate sightings, allowing testing of the critical distance sampling assumption [g(0)=1] and estimation of g(0) if that assumption fails. An audio system comprising headphones for each observer and a 4-track tape recorder allows recording of data that are difficult to accommodate in the digital system and provides a backup to the digital system. We evaluated the system by conducting experimental surveys and reviewing results from actual surveys.</t>
  </si>
  <si>
    <t>Australian Antarctic Div, Kingston, Tas 7050, Australia</t>
  </si>
  <si>
    <t>Australian Antarctic Division</t>
  </si>
  <si>
    <t>Southwell, C (corresponding author), Australian Antarctic Div, Channel Highway, Kingston, Tas 7050, Australia.</t>
  </si>
  <si>
    <t>colin.southwell@aad.gov.au</t>
  </si>
  <si>
    <t>Underwood, Mark/0000-0002-6378-5875</t>
  </si>
  <si>
    <t>2328-5540</t>
  </si>
  <si>
    <t>WILDLIFE SOC B</t>
  </si>
  <si>
    <t>Wildl. Soc. Bull.</t>
  </si>
  <si>
    <t>Biodiversity Conservation</t>
  </si>
  <si>
    <t>Biodiversity &amp; Conservation</t>
  </si>
  <si>
    <t>573HF</t>
  </si>
  <si>
    <t>WOS:000176822700012</t>
  </si>
  <si>
    <t>Last, PR; Balushkin, AV; Hutchins, JB</t>
  </si>
  <si>
    <t>Halaphritis platyrephala (Notothenioidei: Bovichtidae):: A new genus and species of temperate icefish from Southeastern Australia</t>
  </si>
  <si>
    <t>COPEIA</t>
  </si>
  <si>
    <t>FISHES</t>
  </si>
  <si>
    <t>Halaphtitis platycephala, a new genus and species of the perciform suborder Notiothenioidei, is described from coastal reef habitats of temperate Australia. It is a rarely seen, cryptic, nocturnal species that lives deeply concealed in crevices and caves during the day. In external appearance, Halaphritis superficially resembles the parapatric, monotypic pseudaphritid, Pseudaphritis urvillii (Valenciennes), an estuarine and freshwater species that is among the most primitive extant notothenioid fishes. Based on osteology, dentition, and fin and sensory canal structures, Hulaphtitis is provisionally included in the temperate marine family Bovichtidae. In addition to its unique character mix, Halaphtitis can be distinguished from confamilial genera by having a rounded caudal fin, unbranched pectoral fin rays and strongly protruding, dorsally directed eyes. The endemic coexistence of possibly the two most primitive icefish genera in cool temperate Australian seas is supportive of a Gondwanan linkage, specifically an Australian/eastern Antarctic origin of the suborder. Current inclusion of the primitive family Bovichtidae in the suborder has been challenged on molecular grounds but a search for fresh tissue of Halaphritis to confirm its position within the basal notothenioids has so far proven unsuccessful.</t>
  </si>
  <si>
    <t>CSIRO, Hobart, Tas 7001, Australia; Russian Acad Sci, Inst Zool, St Petersburg 199034, Russia; Western Australian Museum, Perth, WA 6000, Australia</t>
  </si>
  <si>
    <t>Commonwealth Scientific &amp; Industrial Research Organisation (CSIRO); Russian Academy of Sciences; Zoological Institute of the Russian Academy of Sciences; Western Australian Museum</t>
  </si>
  <si>
    <t>Last, PR (corresponding author), CSIRO, GPO Box 1538, Hobart, Tas 7001, Australia.</t>
  </si>
  <si>
    <t>peter.last@csiro.au</t>
  </si>
  <si>
    <t>Last, Peter R/B-9740-2009; Balushkin, Arcady/AAM-4225-2020</t>
  </si>
  <si>
    <t>AMER SOC ICHTHYOLOGISTS &amp; HERPETOLOGISTS</t>
  </si>
  <si>
    <t>MIAMI</t>
  </si>
  <si>
    <t>MAUREEN DONNELLY, SECRETARY FLORIDA INT UNIV BIOLOGICAL SCIENCES, 11200 SW 8TH STREET, MIAMI, FL 33199 USA</t>
  </si>
  <si>
    <t>0045-8511</t>
  </si>
  <si>
    <t>1938-5110</t>
  </si>
  <si>
    <t>Copeia</t>
  </si>
  <si>
    <t>MAY 21</t>
  </si>
  <si>
    <t>555AU</t>
  </si>
  <si>
    <t>WOS:000175771000016</t>
  </si>
  <si>
    <t>Reguero, MA; Marenssi, SA; Santillana, SN</t>
  </si>
  <si>
    <t>Antarctic Peninsula and South America (Patagonia) Paleogene terrestrial faunas and environments: biogeographic relationships</t>
  </si>
  <si>
    <t>Cenozoic; Eocene; fauna; flora; Antarctica; Patagonia; biogeography</t>
  </si>
  <si>
    <t>LA-MESETA FORMATION; SEYMOUR-ISLAND; EOCENE; MAMMALS; RECORD; GEOCHRONOLOGY; PALEOCENE; DIVERSITY; EVOLUTION; DINOSAUR</t>
  </si>
  <si>
    <t>The Eocene of Seymour Island contains the only association of Cenozoic plants and land vertebrates known from anywhere in Antarctica and lies at about latitude 63degrees south. The late Early to latest Eocene La Meseta Formation fills an incised valley and comprises sediments representing deltaic, estuarine and very shallow marine environments. The Paleogene sequence in southern South America (Patagonia) and the Antarctic Peninsula reveals floristically distinct periods (late Paleocene, early and middle Eocene and latest Eocene), based largely on leaf assemblages. The late Paleocene Cross Valley flora (Seymour Island) contains ferns and other elements suggesting a much warmer climate than at this latitude today. The Middle Eocene Fossil Hill (South Shetland Islands) and the Rio Turbio (Santa Cruz Province, southern Patagonia) floras have a mixture of both Neotropical and Antarctic elements. The La Meseta paleoflora is distinctive in having a predominance of Antarctic taxa especially Nothofagus, podocarps, and araucarian conifers in the Eocene deciduous and evergreen forests. This suggests a cooling trend during the Eocene of Antarctica with mid- to late Eocene seasonal, cool-temperate, rainy climates and latitudinal and altitudinal gradients. The Seymour Island La Meseta Fauna (Cucullaea Allomember, middle Eocene) contains at least 10 mammal taxa, predominantly tiny marsupials (mostly endemic and new taxa). The endemism of these marsupials suggests the existence of some form of isolating barrier (climatic and/or geographic) during the Eocene. Faunal similarity between the La Meseta Fauna and the fauna assigned to the Riochican (late Paleocene) South American Land Mammal Age of Patagonia strongly suggests that the former derived from the latter. The occurrence on Seymour Island of sudamericids, that had become extinct in South America in the Paleocene, also indicates that isolation may have allowed extended survival of this Gondwanan group in the Eocene of Antarctica and the factors that caused their extinction did not affect this continent. Global warming and intercontinental dispersal have been major influences on the timing and magnitude of terrestrial biotic change in the late Paleocene and early Eocene epochs. The faunistic evidence indicates that the La Meseta mammalian fauna derived from late Paleocene/early Eocene Riochican/Vacan faunas. The dispersal and vicariance events may have occurred during the onset of the climatic optimum of the Cenozoic (late Paleocene-early Eocene) when major regressive events are recorded either in the northern Antarctic Peninsula and southernmost Patagonia (between 58.5 and 56.5 Ma). The absence of notoungulates in the La Meseta fauna is noteworthy. We speculate that the notoungulates could have passed into Antarctica during the latest part of the Paleocene when the environmental conditions were warmer, and then became extinct at the onset of the climatic deterioration during the early Eocene. (C) 2002 Elsevier Science B.V. All rights reserved.</t>
  </si>
  <si>
    <t>Museo La Plata, Dept Cient Paleontol Vertebrados, RA-1900 La Plata, Argentina; Inst Antartico Argentino, RA-1010 Buenos Aires, DF, Argentina</t>
  </si>
  <si>
    <t>National University of La Plata; Museo La Plata; Instituto Antartico Argentino</t>
  </si>
  <si>
    <t>Museo La Plata, Dept Cient Paleontol Vertebrados, Paseo Bosque S-N, RA-1900 La Plata, Argentina.</t>
  </si>
  <si>
    <t>regui@museo.fcnym.unlp.edu.ar; smarenssi@dna.gov.ar; ssantillana@dna.gov.ar</t>
  </si>
  <si>
    <t>Reguero, Marcelo A./JHS-4893-2023</t>
  </si>
  <si>
    <t>Reguero, Marcelo A./0000-0003-0875-8484</t>
  </si>
  <si>
    <t>MAY 20</t>
  </si>
  <si>
    <t>PII S0031-0182(01)00417-5</t>
  </si>
  <si>
    <t>10.1016/S0031-0182(01)00417-5</t>
  </si>
  <si>
    <t>561PQ</t>
  </si>
  <si>
    <t>WOS:000176150800003</t>
  </si>
  <si>
    <t>Craig, RS</t>
  </si>
  <si>
    <t>The palaeobiogeography of Late Cretaceous and Cenozoic brachiopods from Western Australia</t>
  </si>
  <si>
    <t>Cretaceous; Cenozoic; Australian; brachiopods; migration; distribution</t>
  </si>
  <si>
    <t>SOUTHERN AUSTRALIA; CARNARVON BASIN; NEW-ZEALAND; HETEROMORPH AMMONITES; ANTARCTIC PENINSULA; MIDDLE EOCENE; EUCLA BASIN; BIOSTRATIGRAPHY; BIOGEOGRAPHY; FORAMINIFERA</t>
  </si>
  <si>
    <t>Recent research on the Late Cretaceous and Cenozoic fossil brachiopods from the Carnarvon, Perth, Bremer and Eucla sedimentary basins in Western Australia has added much to our understanding of their systematics and biodiversity. Fifty-eight species, including one new family, two new genera and 30 new species, have been described from these sources. Four, possibly five, genera and one species from the Late Cretaceous of Western Australia are common to the Late Cretaceous deposits of the Antarctic Peninsula. This evidence suggests that in the Late Cretaceous there was a continuous shelf environment extending from the Antarctic Peninsula to the Carnarvon Basin of Western Australia. These southern shelf environments formed the high latitude southern circum-Indo-Atlantic faunal province. In this area, brachiopods evolved genera and species differing from those of the northern hemisphere. Many subsequently dispersed into northern areas of the Indian, Atlantic and, finally, Pacific Oceans. Examination of Cenozoic material from the Carnarvon Basin indicates that there is a strong correlation with Cenozoic material from the Antarctic Peninsula. At least six brachiopod genera are common to the two areas. If the distribution of brachiopod genera in Australia and New Zealand is analysed, they first appear in the northwest of Western Australia. They then appear in chronological order in the south-western, south-eastern basins of Australia and finally New Zealand. The apparent migration of brachiopods south and then eastward was most likely due to the Proto-Leeuwin and Great Australian Bight Currents. Fifteen species are common to south-western Australia and south-eastern Australia. Brachiopods may well have used various migration mechanisms from the earliest breaching of the gap between Australia and Antarctica to be transported into the Tasman Sea and hence to New Zealand. This included attachment to living specimens and dead objects as well as possible extended larval life in lower temperature waters. Factors such as light avoidance, food availability and competition with bivalves may provide an explanation for the small number of species and specimens of brachiopods in some deposits. (C) 2002 Elsevier Science B.V. All rights reserved.</t>
  </si>
  <si>
    <t>Craig, RS (corresponding author), 35 Souldern St, Watford WD18 0EU, Herts, England.</t>
  </si>
  <si>
    <t>PII S0031-0182(01)00438-2</t>
  </si>
  <si>
    <t>10.1016/S0031-0182(01)00438-2</t>
  </si>
  <si>
    <t>WOS:000176150800007</t>
  </si>
  <si>
    <t>Ukstins, IA; Renne, PR; Wolfenden, E; Baker, J; Ayalew, D; Menzies, M</t>
  </si>
  <si>
    <t>Matching conjugate volcanic rifted margins: 40Ar/39Ar chrono-stratigraphy of pre- and syn-rift bimodal flood volcanism in Ethiopia and Yemen</t>
  </si>
  <si>
    <t>flood basalts; volcanism; rifting; 40Ar/39Ar; Ethiopia; Yemen</t>
  </si>
  <si>
    <t>ALKALI BASALT PROVINCE; MIDDLE AWASH VALLEY; RED-SEA; AMARO HORST; AFAR RIFT; EVOLUTION; AGE; GEOLOGY; DURATION; KINGDOM</t>
  </si>
  <si>
    <t>40Ar/39Ar dating of mineral separates and whole-rock samples of rhyolitic ignimbrites and basaltic lavas from the pre- and syn-rift flood volcanic units of northern Ethiopia provides a temporal link between the Ethiopian and Yemen conjugate rifted volcanic margins. Sixteen new 40Ar/39Ar dates confirm that basaltic flood volcanism in Ethiopia was contemporaneous with flood volcanism on the conjugate margin in Yemen. The new data also establish that flood volcanism initiated prior to 30.9 Ma in Ethiopia and may predate initiation of similar magmatic activity in Yemen by similar to0.2-2.0 Myr. Rhyolitic volcanism in Ethiopia commenced at 30.2 Ma, contemporaneous with the first rhyolitic ignimbrite unit in Yemen at similar to30 Ma. Accurate and precise 40Ar/39Ar dates on initial rhyolitic ignimbrite eruptions suggest that silicic flood volcanism in Afro-Arabia post-dates the Oligocene Oi2 global cooling event, ruling out a causative link between these explosive silicic eruptions (with individual volumes greater than or equal to 200 km(3)) and climatic cooling which produced the first major expansion of the Antarctic ice sheets. Ethiopian volcanism shows a progressive and systematic younging from north to south along the escarpment and parallel to the rifted margin. from pre-rift flood volcanics in the north to syn-rift northern Main Ethiopian Rift volcanism in the south. A dramatic decrease in volcanic activity in Ethiopia between 25 and 20 Ma correlates with a prominent break-up unconformity in Yemen (26-19 Ma), both of which mark the transition from pre- to syn-rift volcanism (similar to25-26 Ma) triggered by the separation of Africa and Arabia. The architecture of the Ethiopian margin is characterized by accumulation and preservation of syn-rift volcanism, while the Yemen margin was shaped by denudational unloading and magmatic starvation as the Arabian plate rifted away from the Afar plume. A second magmatic hiatus and angular unconformity in the northern Main Ethiopian Rift is evident at 10.6-3.2 Ma, and is also observed throughout the Arabian plate in Jordanian, Saudi Arabian and Yemeni intraplate volcanic fields and is possibly linked to tectonic reorganization and initiation of sea floor spreading in the Gulf of Aden and the Red Sea at 10 and 5 Ma, respectively. (C) 2002 Elsevier Science B.V. All rights reserved.</t>
  </si>
  <si>
    <t>Univ London, Royal Holloway &amp; Bedford New Coll, Dept Geol, Egham TW20 0EX, Surrey, England; Danish Lithosphere Ctr, DK-1350 Copenhagen K, Denmark; Berkeley Geochronol Ctr, Berkeley, CA 94709 USA; Univ Calif Berkeley, Dept Earth &amp; Planetary Sci, Berkeley, CA 94709 USA; Univ Addis Ababa, Addis Ababa, Ethiopia</t>
  </si>
  <si>
    <t>University of London; Royal Holloway University London; Berkeley Geochronolgy Center; University of California System; University of California Berkeley; Addis Ababa University</t>
  </si>
  <si>
    <t>Univ London, Royal Holloway &amp; Bedford New Coll, Dept Geol, Egham TW20 0EX, Surrey, England.</t>
  </si>
  <si>
    <t>iau@dlc.ku.dk</t>
  </si>
  <si>
    <t>Menzies, Martin A/G-9553-2011; Baker, Joel A/A-3477-2008</t>
  </si>
  <si>
    <t>Ukstins, Ingrid/0000-0002-2315-9626; Renne, Paul/0000-0003-1769-5235; Baker, Joel/0000-0001-6371-5060</t>
  </si>
  <si>
    <t>MAY 15</t>
  </si>
  <si>
    <t>PII S0012-821X(02)00525-3</t>
  </si>
  <si>
    <t>10.1016/S0012-821X(02)00525-3</t>
  </si>
  <si>
    <t>555RX</t>
  </si>
  <si>
    <t>WOS:000175808000005</t>
  </si>
  <si>
    <t>Ferraccioli, F; Bozzo, E; Capponi, G</t>
  </si>
  <si>
    <t>Aeromagnetic and gravity anomaly constraints for an early Paleozoic subduction system of Victoria Land, Antarctica</t>
  </si>
  <si>
    <t>TECTONIC EVOLUTION; TRANSANTARCTIC MOUNTAINS; BOWERS TERRANES; GONDWANA; WILSON; MARGIN</t>
  </si>
  <si>
    <t>[1] In Victoria Land three fault-bounded tectonostratigraphic terranes are generally recognized: the Robertson Bay Terrane, the Bowers Terrane and the Wilson Terrane. Accretion and suturing of terranes at the East Antarctic Craton margin is usually related to west-dipping subduction during the early Paleozoic Ross Orogen: however, nature of subduction-related basement under the Bowers and Robertson Bay terranes is still debated and this adds uncertainty to existing tectonic models. This paper interprets aeromagnetic and gravity data against geologic and geochemical evidence to elaborate a new tectonic model for Victoria Land. We propose that the contrasting magnetic and gravity signatures over the northern and southern Bowers Terrane are linked to different basement rocks, specifically, buried oceanic basement beneath the northern Bowers Terrane and continental basement beneath the southern Bowers Terrane. The relevant linear magnetic anomaly in Central Victoria Land might also be a previously unrecognized suture within the Wilson Terrane.</t>
  </si>
  <si>
    <t>Univ Genoa, Dipartimento Studio Territorio &amp; Risorse, I-16132 Genoa, Italy</t>
  </si>
  <si>
    <t>Ferraccioli, F (corresponding author), Univ Genoa, Dipartimento Studio Territorio &amp; Risorse, Viale Benedetto XV 5, I-16132 Genoa, Italy.</t>
  </si>
  <si>
    <t>Ferraccioli, Fausto/0000-0002-9347-4736</t>
  </si>
  <si>
    <t>10.1029/2001GL014138</t>
  </si>
  <si>
    <t>609DL</t>
  </si>
  <si>
    <t>WOS:000178888300100</t>
  </si>
  <si>
    <t>Hnat, B; Chapman, SC; Rowlands, G; Watkins, NW; Farrell, WM</t>
  </si>
  <si>
    <t>Finite size scaling in the solar wind magnetic field energy density as seen by WIND</t>
  </si>
  <si>
    <t>TURBULENCE; INTERMITTENCY; DISTRIBUTIONS</t>
  </si>
  <si>
    <t>[1] Statistical properties of the interplanetary magnetic field fluctuations can provide an important insight into the solar wind turbulent cascade. Recently, analysis of the Probability Density Functions (PDF) of the velocity and magnetic field fluctuations has shown that these exhibit non- Gaussian properties on small time scales while large scale features appear to be uncorrelated. Here we apply the finite size scaling technique to explore the scaling of the magnetic field energy density fluctuations as seen by WIND. We find a single scaling sufficient to collapse the curves over the entire investigated range. The rescaled PDF follow a non Gaussian distribution with asymptotic behavior well described by the Gamma distribution arising from a finite range Levy walk. Such mono scaling suggests that a Fokker- Planck approach can be applied to study the PDF dynamics. These results strongly suggest the existence of a common, nonlinear process on the time scale up to 26 hours.</t>
  </si>
  <si>
    <t>Univ Warwick, Space &amp; Astrophys Grp, Coventry CV4 7AJ, W Midlands, England; British Antarctic Survey, Cambridge CB3 0ET, England; NASA, Goddard Space Flight Ctr, Greenbelt, MD 20771 USA</t>
  </si>
  <si>
    <t>University of Warwick; UK Research &amp; Innovation (UKRI); Natural Environment Research Council (NERC); NERC British Antarctic Survey; National Aeronautics &amp; Space Administration (NASA); NASA Goddard Space Flight Center</t>
  </si>
  <si>
    <t>Univ Warwick, Space &amp; Astrophys Grp, Coventry CV4 7AJ, W Midlands, England.</t>
  </si>
  <si>
    <t>Farrell, William/I-4865-2013; Watkins, Nicholas Wynn/C-5140-2008; Watkins, Nick/GPX-7439-2022; Chapman, Sandra/C-2216-2008</t>
  </si>
  <si>
    <t>Watkins, Nicholas Wynn/0000-0003-4484-6588; Watkins, Nick/0000-0003-4484-6588; Chapman, Sandra/0000-0003-0053-1584</t>
  </si>
  <si>
    <t>10.1029/2001GL014587</t>
  </si>
  <si>
    <t>WOS:000178888300060</t>
  </si>
  <si>
    <t>Le Quéré, C; Bopp, L; Tegen, I</t>
  </si>
  <si>
    <t>Antarctic circumpolar wave impact on marine biology:: A natural laboratory for climate change study -: art. no. 1407</t>
  </si>
  <si>
    <t>TIME-SERIES STATION; INTERANNUAL VARIABILITY; OCEAN; KERFIX; TEMPERATURE; MODEL; IRON</t>
  </si>
  <si>
    <t>[1] We use the observed variations in ocean surface chlorophyll, temperature and height caused by the Antarctic Circumpolar Wave (ACW) as a natural laboratory to determine how marine biology responds to changes in ocean stratification in the Southern Ocean. Interannual variations of surface chlorophyll (+/- 5%) observed by SeaWiFS satellite during 1997-2001 vary in phase over the entire Southern Ocean in spite of large east-west dipoles in ocean dynamics. We suggest that this behavior is due to the regional predominance of light versus nutrient limitation over the most productive regions of the Southern Ocean.</t>
  </si>
  <si>
    <t>Max Planck Inst Biogeochem, D-07701 Jena, Germany</t>
  </si>
  <si>
    <t>Max Planck Society</t>
  </si>
  <si>
    <t>Le Quéré, Corinne/C-2631-2017; bopp, laurent/ABF-5302-2020; Tegen, Ina/W-4299-2018</t>
  </si>
  <si>
    <t>Le Quéré, Corinne/0000-0003-2319-0452; bopp, laurent/0000-0003-4732-4953; Tegen, Ina/0000-0003-3700-3232</t>
  </si>
  <si>
    <t>10.1029/2001GL014585</t>
  </si>
  <si>
    <t>Bronze, Green Published</t>
  </si>
  <si>
    <t>WOS:000178888300099</t>
  </si>
  <si>
    <t>Cai, WJ; Watterson, IG</t>
  </si>
  <si>
    <t>Modes of interannual variability of the southern hemisphere circulation simulated by the CSIRO climate model</t>
  </si>
  <si>
    <t>ANTARCTIC CIRCUMPOLAR WAVE; SEA-LEVEL PRESSURE; ZONAL WAVE-NUMBER-3 PATTERN; HIGH-LATITUDE VARIABILITY; GEOPOTENTIAL HEIGHT; GLOBAL ATMOSPHERE; WIND VACILLATION; LINEAR-RESPONSE; SST ANOMALIES; COUPLED MODEL</t>
  </si>
  <si>
    <t>This study examines the capability of the Commonwealth Scientific and Industrial Research Organisation (CSIRO) climate model in simulating the observed modes of interannual variability of the Southern Hemisphere circulation. Modes of variability in the 500-hPa geopotential height (Z500) field of the following three experiments are examined: 1) a coupled experiment, in which the atmosphere and the ocean are fully coupled, producing El Nino-Southern Oscillation (ENSO) cycles and allowing full air-sea interactions; 2) a mixed layer experiment, in which the atmosphere is coupled to an ocean mixed layer heat equation allowing limited air-sea interactions; and 3) a climatology experiment, in which the atmosphere is forced by an observed SST climatology with a fixed annual cycle, allowing no air-sea interactions. It is found that the observed modes are reasonably simulated in all three experiments, although the amplitude of the model modes is generally smaller than that of the observed. These modes include the high-latitude mode (i.e., the Antarctic Oscillation), the Pacific-South American (PSA) mode, and the wavenumber-3 mode. It is also found that the response of the mid- to high-latitude atmosphere circulation to the model ENSO forcing projects mainly onto the PSA mode. Many features of the PSA mode are similar to those associated with the Pacific-North American mode in the Northern Hemisphere. In response to these Z500 modes, the ocean produces coherent modes of variability, but the oceanic feedback effect appears to be weak. The amplitude of anomalies associated with each mode of the Z500 field in the three experiments shows little difference, suggesting that these Z500 modes can be generated by atmospheric internal dynamics alone, and that the ocean dynamics, air-sea interactions, and ENSO forcing are not essential.</t>
  </si>
  <si>
    <t>CSIRO, Div Atmospher Res, Aspendale, Vic 3195, Australia</t>
  </si>
  <si>
    <t>CSIRO, Div Atmospher Res, 107-121 Stn St, Aspendale, Vic 3195, Australia.</t>
  </si>
  <si>
    <t>wjc@dar.csiro.au</t>
  </si>
  <si>
    <t>Watterson, Ian G./A-1690-2012; Cai, Wenju/C-2864-2012</t>
  </si>
  <si>
    <t>Cai, Wenju/0000-0001-6520-0829</t>
  </si>
  <si>
    <t>10.1175/1520-0442(2002)015&lt;1159:MOIVOT&gt;2.0.CO;2</t>
  </si>
  <si>
    <t>546AC</t>
  </si>
  <si>
    <t>WOS:000175248900004</t>
  </si>
  <si>
    <t>Razzaque, S; Seunarine, S; Besson, DZ; McKay, DW; Ralston, JP; Seckel, D</t>
  </si>
  <si>
    <t>Coherent radio pulses from GEANT generated electromagnetic showers in ice</t>
  </si>
  <si>
    <t>ULTRAHIGH-ENERGY NEUTRINOS; DETECTORS; CASCADES</t>
  </si>
  <si>
    <t>Radio Cherenkov radiation is arguably the most efficient mechanism for detecting showers from ultrahigh energy particles of 1 PeV and above. Showers occurring in Antarctic ice should be detectable at distances up to 1 km. We report on electromagnetic shower development in ice using a GEANT Monte Carlo simulation. We have studied energy deposition by shower particles and determined shower parameters for several different media, finding agreement with published results where available. We also report on radio pulse emission from the charged particles in the shower, focusing on coherent emission at the Cherenkov angle. Previous work has focused on frequencies in the 100 MHz to 1 GHz range. Surprisingly, we find that the coherence regime extends up to tens of GHz. This may have substantial impact on future radio-based neutrino detection experiments as well as any test beam experiment which seeks to measure coherent Cherenkov radiation from an electromagnetic shower. Our study is particularly important for the RICE experiment at the South Pole.</t>
  </si>
  <si>
    <t>Univ Kansas, Dept Phys &amp; Astron, Lawrence, KS 66045 USA; Univ Canterbury, Dept Phys, Christchurch 1, New Zealand; Univ Delaware, Bartol Res Inst, Newark, DE 19716 USA</t>
  </si>
  <si>
    <t>University of Kansas; University of Canterbury; University of Delaware</t>
  </si>
  <si>
    <t>Razzaque, S (corresponding author), Univ Kansas, Dept Phys &amp; Astron, Lawrence, KS 66045 USA.</t>
  </si>
  <si>
    <t>Seunarine, Suruj/0000-0003-3272-6896; Ralston, John/0000-0002-9296-6018; Razzaque, Soebur/0000-0002-0130-2460</t>
  </si>
  <si>
    <t>10.1103/PhysRevD.65.103002</t>
  </si>
  <si>
    <t>555BY</t>
  </si>
  <si>
    <t>WOS:000175774200007</t>
  </si>
  <si>
    <t>Briais, A; Rabinowicz, M</t>
  </si>
  <si>
    <t>Temporal variations of the segmentation of slow to intermediate spreading mid-ocean ridges - 1. Synoptic observations based on satellite altimetry data</t>
  </si>
  <si>
    <t>AUSTRALIAN-ANTARCTIC DISCORDANCE; SOUTHEAST INDIAN RIDGE; EAST PACIFIC RISE; ATLANTIC RIDGE; REYKJANES-RIDGE; MIDOCEAN RIDGES; CRUSTAL THICKNESS; GRAVITY-ANOMALIES; FRACTURE-ZONES; 3-DIMENSIONAL STRUCTURE</t>
  </si>
  <si>
    <t>[1] The high-resolution geoid and gravity maps derived from ERS-1 and Geosat satellite geodetic missions reveal a set of small-scale lineations on the flanks of slow to intermediate spreading mid-ocean ridges. Assuming that these lineations reflect the variations in crustal structure induced by mid-ocean ridge axial discontinuities, we use them to investigate how the discontinuities, and the segments they bound, appear, migrate, and disappear. We provide a synoptic description of the main characteristics of the crustal structure variations, as well as their evolution in time, over the flanks of the Mid-Atlantic, Indian, and Pacific-Antarctic Ridges. The second-order segment length does not appear to vary with the spreading rate for the slow to intermediate spreading ridges investigated here. The amplitude of the gravity signal associated with off-axis discontinuity traces increases with the obliquity of the ridge to spreading and decreases with spreading rate and with the proximity of a ridge section to a hot spot. The patterns of the gravity lineations appear to be very homogeneous over 500- to 1000-km-large corridors bounded by large fracture zones. Far from hot spots, corridors are characterized either by segments bounded by discontinuities migrating back and forth along the axis, implying a lifetime of 10-30 Myr for the segments, or by segments and discontinuities very stable in space and time, surviving for 40-50 Myr. Closer to hot spots, the segmentation is affected in two ways. First, segments tend to migrate along axis away from hot spots, or toward cold spots. Second, asymmetric spreading tends to keep sections of ridges closer to hot spots than normal spreading would. These observations support the hypothesis that ridge segmentation and its evolution are controlled by mantle dynamics. Our analysis provides observational constraints for further models of crustal production along ridges, which are presented in the companion paper by Rabinowicz and Briais [2002].</t>
  </si>
  <si>
    <t>CNRS, Observ Midi Pyrenees, Lab Etud Geophys &amp; Oceanog Spatiales, UMR 5566, F-31400 Toulouse, France; Observ Midi Pyrenees, Lab Dynam Terr &amp; Planetaire, F-31400 Toulouse, France</t>
  </si>
  <si>
    <t>Centre National de la Recherche Scientifique (CNRS); CNRS - National Institute for Earth Sciences &amp; Astronomy (INSU); Universite de Toulouse; Universite Toulouse III - Paul Sabatier; Institut de Recherche pour le Developpement (IRD); Laboratoire d'Etudes en Geophysique et oceanographie spatiales; Universite de Toulouse; Universite Toulouse III - Paul Sabatier</t>
  </si>
  <si>
    <t>Briais, A (corresponding author), CNRS, Observ Midi Pyrenees, Lab Etud Geophys &amp; Oceanog Spatiales, UMR 5566, 14 Ave Edouard Belin, F-31400 Toulouse, France.</t>
  </si>
  <si>
    <t>Anne.Briais@cnes.fr; Michel.Rabinowicz@cnes.fr</t>
  </si>
  <si>
    <t>MAY 10</t>
  </si>
  <si>
    <t>B5</t>
  </si>
  <si>
    <t>10.1029/2001JB000533</t>
  </si>
  <si>
    <t>609RC</t>
  </si>
  <si>
    <t>Green Published, Bronze</t>
  </si>
  <si>
    <t>WOS:000178917500007</t>
  </si>
  <si>
    <t>Fricker, HA; Allison, I; Craven, M; Hyland, G; Ruddell, A; Young, N; Coleman, R; King, M; Krebs, K; Popov, S</t>
  </si>
  <si>
    <t>Redefinition of the Amery Ice Shelf, East Antarctica, grounding zone</t>
  </si>
  <si>
    <t>Antarctica; glaciology; grounding zone; ice shelf; radar altimetry; radio-echo sounding</t>
  </si>
  <si>
    <t>LAMBERT-GLACIER; FLEXURE; STREAM; SYSTEM; SHEET; LINE</t>
  </si>
  <si>
    <t>[1] New evidence is presented which shows that the Amery Ice Shelf, East Antarctica, extends similar to240 km upstream of the previously reported position. We combine a digital elevation model of the Amery Ice Shelf created from ERS-1 satellite radar altimetry with measured ice thicknesses and a simple density model in a hydrostatic (buoyancy) calculation to map the extent of the floating ice. This reveals that the ice is floating as far south as 73.2degreesS. The result is confirmed by static GPS measurements collected during three consecutive field campaigns on the Amery Ice Shelf where the vertical component of the GPS shows a clear tidal signal at 72.98degreesS. Other evidence for the grounding zone position comes from an analysis of satellite imagery, mass flux calculations, and ice radar data. The southward extension of the grounding line substantially alters the shape and dimensions of the ocean cavity beneath the ice shelf, which has implications for modeling studies of sub-ice shelf processes, such as basal melting and freezing, ocean circulation, and tides. The new grounding line position will also improve geophysical studies, where the computation of ocean tidal loading corrections is important for postglacial rebound estimates and correction of satellite altimetry measurements within the region.</t>
  </si>
  <si>
    <t>Univ Calif San Diego, Scripps Inst Oceanog, Inst Geophys &amp; Planetary Phys, La Jolla, CA 92093 USA; Antarctic CRC, Hobart, Tas 7001, Australia; Univ Tasmania, Sch Geog &amp; Environm Studies, CSIRO, Marine Res &amp; Antarctic Cooperat Res Ctr, Hobart, Tas 7001, Australia; Charles Sturt Univ, Johnstone Ctr Social &amp; Biophys Environm Res, Albury, NSW 2640, Australia; Polar Marine Geol Survey Expedit, St Petersburg 189510, Russia</t>
  </si>
  <si>
    <t>University of California System; University of California San Diego; Scripps Institution of Oceanography; Commonwealth Scientific &amp; Industrial Research Organisation (CSIRO); University of Tasmania; Charles Sturt University</t>
  </si>
  <si>
    <t>Univ Calif San Diego, Scripps Inst Oceanog, Inst Geophys &amp; Planetary Phys, La Jolla, CA 92093 USA.</t>
  </si>
  <si>
    <t>hafricker@ucsd.edu; ian_all@aad.gov.au; neal.young@utas.edu.au; richard.coleman@utas.edu.au</t>
  </si>
  <si>
    <t>Allison, Ian F/I-4477-2015; Popov, Sergey/IYJ-2371-2023; King, Matt/B-4622-2008; Popov, Sergey V./I-2319-2013; Coleman, Richard/H-4425-2012</t>
  </si>
  <si>
    <t>Allison, Ian F/0000-0001-9599-0251; Popov, Sergey/0000-0002-1830-8658; King, Matt/0000-0001-5611-9498; Popov, Sergey V./0000-0002-1830-8658; Fricker, Helen Amanda/0000-0002-0921-1432; Young, Neal/0000-0001-9729-3273; Coleman, Richard/0000-0002-9731-7498</t>
  </si>
  <si>
    <t>10.1029/2001JB000383</t>
  </si>
  <si>
    <t>WOS:000178917500013</t>
  </si>
  <si>
    <t>Poole, I</t>
  </si>
  <si>
    <t>Systematics of cretaceous and tertiary Nothofagoxylon:: implications for Southern Hemisphere biogeography and evolution of the Nothofagaceae</t>
  </si>
  <si>
    <t>AUSTRALIAN SYSTEMATIC BOTANY</t>
  </si>
  <si>
    <t>JAMES-ROSS-ISLAND; FOSSIL RECORD; WOOD; ANTARCTICA; CONGRUENCE; TASMANIA; AREA</t>
  </si>
  <si>
    <t>Fossil woods with greatest anatomical similarity to modern Nothofagaceae are traditionally assigned to the organ genus Nothofagoxylon Gothan. All fossil wood records of Nothofagoxylon were re-evaluated so that recently collected specimens from the Antarctica Peninsula region could be assigned to taxa within this organ genus. Widespread synonymy was found within the published records of Nothofagoxylon, so that of the 16 described species, only seven were retained. Six of these fossil species were found to be present in Antarctica. In undertaking this review, some lauraceous woods assigned to Laurinoxylon Schuster were found to be nothofagaceous. Temporal and spatial patterns of occurrence of the Nothofagoxylon wood type help support current views that the centre of origin of the Nothofagaceae was within the Antarctic Peninsula-South America region during the Campanian followed by radiation into the lower southern latitudes throughout the Tertiary.</t>
  </si>
  <si>
    <t>Natl Herbarium Netherlands, Wood Anat Sect, Univ Utrecht Branch, NL-3585 CS Utrecht, Netherlands</t>
  </si>
  <si>
    <t>Utrecht University</t>
  </si>
  <si>
    <t>Poole, I (corresponding author), Natl Herbarium Netherlands, Wood Anat Sect, Univ Utrecht Branch, POB 80102, NL-3585 CS Utrecht, Netherlands.</t>
  </si>
  <si>
    <t>C S I R O PUBLISHING</t>
  </si>
  <si>
    <t>COLLINGWOOD</t>
  </si>
  <si>
    <t>150 OXFORD ST, PO BOX 1139, COLLINGWOOD, VICTORIA 3066, AUSTRALIA</t>
  </si>
  <si>
    <t>1030-1887</t>
  </si>
  <si>
    <t>AUST SYST BOT</t>
  </si>
  <si>
    <t>Aust. Syst. Bot.</t>
  </si>
  <si>
    <t>MAY 7</t>
  </si>
  <si>
    <t>UNSP 1030-1887/02/02247</t>
  </si>
  <si>
    <t>10.1071/SB01014</t>
  </si>
  <si>
    <t>Plant Sciences; Evolutionary Biology</t>
  </si>
  <si>
    <t>549EE</t>
  </si>
  <si>
    <t>WOS:000175430900008</t>
  </si>
  <si>
    <t>[Anonymous]</t>
  </si>
  <si>
    <t>Antarctic ozone hole linked to puzzling climate</t>
  </si>
  <si>
    <t>CHEMICAL &amp; ENGINEERING NEWS</t>
  </si>
  <si>
    <t>0009-2347</t>
  </si>
  <si>
    <t>CHEM ENG NEWS</t>
  </si>
  <si>
    <t>Chem. Eng. News</t>
  </si>
  <si>
    <t>MAY 6</t>
  </si>
  <si>
    <t>Chemistry, Multidisciplinary; Engineering, Chemical</t>
  </si>
  <si>
    <t>Chemistry; Engineering</t>
  </si>
  <si>
    <t>548RQ</t>
  </si>
  <si>
    <t>WOS:000175403500038</t>
  </si>
  <si>
    <t>Spikings, RA; Foster, DA; Kohn, BP; Lister, GS</t>
  </si>
  <si>
    <t>Post-orogenic (&lt;1500 Ma) thermal history of the Palaeo-Mesoproterozoic, Mt. Isa province, NE Australia</t>
  </si>
  <si>
    <t>TECTONOPHYSICS</t>
  </si>
  <si>
    <t>9th International Conference on Fission Track Dating and Thermochronology</t>
  </si>
  <si>
    <t>FEB 06-11, 2000</t>
  </si>
  <si>
    <t>LOME, AUSTRALIA</t>
  </si>
  <si>
    <t>thermochronology; Proterozoic; Mt. Isa Inlier; Australia; Rodinia; Gondwana</t>
  </si>
  <si>
    <t>MOUNT-ISA; ARUNTA-INLIER; K-AR; NORTHERN AUSTRALIA; MUSGRAVE RANGES; GAWLER CRATON; ARGON RELEASE; FOLD BELT; GEOCHRONOLOGY; QUEENSLAND</t>
  </si>
  <si>
    <t>We present hornblende, white mica, biotite and alkali feldspar 40Ar/39Ar data from Paleo-Mesoproterozoic rocks of the Mt. Isa Inlier, Australia, which reveal a previously unrecognised post-orogenic, non-linear cooling history of part of the Northern Australian Craton, Plateau and total fusion 40Ar/39Ar ages range between 1500 and 767 Ma and record increases in regional cooling rates of Lip to 4 degrees/Na during 1440-1390 and 1260-1000 Ma. Forward modelling of the alkali feldspar 40Ar/39Ar Arrhenius parameters reveals subsequent increases in cooling rates during 600-400 Ma. The cooling episodes were driven by both erosional exhumation at average rates of similar to 0.25 km/Ma and thermal relaxation following crustal heating and magmatic events. Early Mesoproterozoic cooling is synchronous with exhumation and shearing in the Arunta Block and Gawler Craton. Late Mesoproterozoic cooling could have either been driven by increased rates of exhumation, or a result of thermal relaxation following a heat pulse that was synchronous with dyke emplacement in the Arunta, Musgrave and Mt. Isa province, as well as Grenville-aged orogenesis in the Albany-Fraser Belt, Latest Neoproterozoic-Cambrian cooling and exhumation was probably driven by the convergence of part of the East Antarctic Shield with the Musgrave Block and Western Australia (Petermann Ranges Orogeny), as well as collisional tectonics that produced the Delamerian-Ross Orogen. Major changes in the stress field and geothermal gradients of the Australian plate that are synchronous with the assembly and break-up of parts of Rodinia and Gondwana resulted in shearing and repeated brittle reactivation of the Mt. Isa Inlier, probably via the displacement of long-lived basement faults within the Northern Australian Craton. (C) 2002 Elsevier Science B.V. All rights reserved.</t>
  </si>
  <si>
    <t>ETH Zentrum, Inst Geol, CH-8092 Zurich, Switzerland; Univ Florida, Dept Geol Sci, Gainesville, FL 32611 USA; Univ Melbourne, Sch Earth Sci, Parkville, Vic 3052, Australia; Monash Univ, Australian Crustal Res Ctr, Clayton, Vic 3800, Australia</t>
  </si>
  <si>
    <t>Swiss Federal Institutes of Technology Domain; ETH Zurich; State University System of Florida; University of Florida; University of Melbourne; Monash University</t>
  </si>
  <si>
    <t>ETH Zentrum, Inst Geol, CH-8092 Zurich, Switzerland.</t>
  </si>
  <si>
    <t>richard.spikings@erdw.ethz.ch</t>
  </si>
  <si>
    <t>Foster, David A/F-1727-2010</t>
  </si>
  <si>
    <t>Foster, David A./0000-0002-5603-9372; Spikings, Richard/0000-0001-8949-8228; Lister, Gordon/0000-0001-6265-602X; Kohn, Barry/0000-0001-5064-5454</t>
  </si>
  <si>
    <t>0040-1951</t>
  </si>
  <si>
    <t>1879-3266</t>
  </si>
  <si>
    <t>Tectonophysics</t>
  </si>
  <si>
    <t>PII S0040-1951(02)00060-4</t>
  </si>
  <si>
    <t>10.1016/S0040-1951(02)00060-4</t>
  </si>
  <si>
    <t>566XF</t>
  </si>
  <si>
    <t>WOS:000176453000019</t>
  </si>
  <si>
    <t>Thompson, DWJ; Solomon, S</t>
  </si>
  <si>
    <t>Interpretation of recent Southern Hemisphere climate change</t>
  </si>
  <si>
    <t>OZONE DEPLETION; GREENHOUSE-GAS; EXTRATROPICAL CIRCULATION; ANTARCTIC OZONE; ANNULAR MODES; TRENDS; OSCILLATION; TEMPERATURES; VARIABILITY; REANALYSIS</t>
  </si>
  <si>
    <t>Climate variability in the high-latitude Southern Hemisphere (SH) is dominated by the SH annular mode, a large-scale pattern of variability characterized by fluctuations in the strength of the circumpolar vortex. We present evidence that recent trends in the SH tropospheric circulation can be interpreted as a bias toward the high-index polarity of this pattern, with stronger westerly flow encircling the polar cap. It is argued that the largest and most significant tropospheric trends can be traced to recent trends in the lower stratospheric polar vortex, which are due largely to photochemical ozone losses. During the summer-fall season, the trend toward stronger circumpolar flow has contributed substantially to the observed warming over the Antarctic Peninsula and Patagonia and to the cooling over eastern Antarctica and the Antarctic plateau.</t>
  </si>
  <si>
    <t>Colorado State Univ, Dept Atmospher Sci, Ft Collins, CO 80523 USA; NOAA, Aeron Lab, Boulder, CO 80305 USA</t>
  </si>
  <si>
    <t>Colorado State University; National Oceanic Atmospheric Admin (NOAA) - USA</t>
  </si>
  <si>
    <t>Colorado State Univ, Dept Atmospher Sci, Foothills Campus, Ft Collins, CO 80523 USA.</t>
  </si>
  <si>
    <t>davet@atmos.colostate.edu</t>
  </si>
  <si>
    <t>Thompson, David/C-3520-2008; Thompson, David W J/F-9627-2012</t>
  </si>
  <si>
    <t>Thompson, David W J/0000-0002-5413-4376</t>
  </si>
  <si>
    <t>MAY 3</t>
  </si>
  <si>
    <t>10.1126/science.1069270</t>
  </si>
  <si>
    <t>549KF</t>
  </si>
  <si>
    <t>WOS:000175442500040</t>
  </si>
  <si>
    <t>Breadmore, MC; Palmer, AS; Curran, M; Macka, M; Avdalovic, N; Haddad, PR</t>
  </si>
  <si>
    <t>On-column ion-exchange preconcentration of inorganic anions in open tubular capillary electrochromatography with elution using transient-isotachophoretic gradients. 3. Implementation and method development</t>
  </si>
  <si>
    <t>ANALYTICAL CHEMISTRY</t>
  </si>
  <si>
    <t>SENSITIVITY ENHANCEMENT; ONLINE PRECONCENTRATION; SAMPLE TREATMENT; ICE-CORE; ELECTROPHORESIS; FLOW; SEPARATION; PROTEINS</t>
  </si>
  <si>
    <t>A solid-phase extraction method based on an ion-exchange retention mechanism has been used for in-line preconcentration of inorganic anions prior to their separation by capillary electrophoresis (CE). A single capillary containing a preconcentration and a separation zone has been used in a commercial CE instrument without instrumental modification. Analyte anions were retained on a preconcentration zone comprising an adsorbed layer of cationic latex particles, while separation was achieved in a separation zone comprising fused silica modified by adsorption of a cationic polymer. Elution of the adsorbed analytes was achieved using an eluotropic gradient formed by a transient isotachophoretic boundary between a fluoride electrolyte and a naphthalenedisulfonate electrolyte. Optimization of the electrolyte concentrations, sample injection times, and back-Rushing times allowed the successful separation of sub-ppb levels of inorganic anions using a 100-min injection at 2 bar pressure, introducing over 40 capillary volumes of sample. A method based on a 10-min injection allowed a 100-fold increase in sensitivity over conventional hydrodynamic injection for Br-, I-, NO3-, CrO42-, and MoO42- with a total analysis time of 25 min. Detection limits were dependent on the injection time but were in the range 2.2-11.6 ppb for a 10-min injection time. This approach was used to determine NO3- in Antarctic ice cores where the analysis could be performed using a sample volume 100 times less than that used for ion chromatography.</t>
  </si>
  <si>
    <t>Univ Tasmania, Sch Chem, Australian Ctr Res Separat Sci, Hobart, Tas 7001, Australia; Univ Tasmania, Inst Antarctic &amp; So Ocean Studies, Hobart, Tas, Australia; Antarctic CRC &amp; Australian Antarctic Div, Hobart, Tas, Australia; Dionex Chem Corp, Sunnyvale, CA 94086 USA</t>
  </si>
  <si>
    <t>University of Tasmania; University of Tasmania; Australian Antarctic Division; Thermo Fisher Scientific; Dionex Corporation</t>
  </si>
  <si>
    <t>Univ Tasmania, Sch Chem, Australian Ctr Res Separat Sci, GPO Box 252-75, Hobart, Tas 7001, Australia.</t>
  </si>
  <si>
    <t>Paul.Haddad@utas.edu.au</t>
  </si>
  <si>
    <t>Macka, Miroslav/G-6553-2012; Breadmore, Michael/J-7628-2014</t>
  </si>
  <si>
    <t>Macka, Miroslav/0000-0002-6792-2574; Breadmore, Michael/0000-0001-5591-4326; Haddad, Paul/0000-0001-9579-7363</t>
  </si>
  <si>
    <t>0003-2700</t>
  </si>
  <si>
    <t>1520-6882</t>
  </si>
  <si>
    <t>ANAL CHEM</t>
  </si>
  <si>
    <t>Anal. Chem.</t>
  </si>
  <si>
    <t>MAY 1</t>
  </si>
  <si>
    <t>10.1021/ac011217u</t>
  </si>
  <si>
    <t>Chemistry, Analytical</t>
  </si>
  <si>
    <t>Chemistry</t>
  </si>
  <si>
    <t>547XU</t>
  </si>
  <si>
    <t>Green Published, Green Accepted</t>
  </si>
  <si>
    <t>WOS:000175358800052</t>
  </si>
  <si>
    <t>Lewis, T; Gilbert, R; Lamoureux, SF</t>
  </si>
  <si>
    <t>Spatial and temporal changes in sedimentary processes at proglacial Bear Lake, Devon Island, Nunavut, Canada</t>
  </si>
  <si>
    <t>ARCTIC ANTARCTIC AND ALPINE RESEARCH</t>
  </si>
  <si>
    <t>GLACIER-FED LAKE; BRITISH-COLUMBIA; ELLESMERE ISLAND; ARCTIC CANADA; ICE-SHEET; LACUSTRINE; CATCHMENT; TRANSPORT; PATTERNS; ALBERTA</t>
  </si>
  <si>
    <t>Lacustrine sedimentary processes are identified on an intra-annual scale at proglacial Bear Lake, Devon Island. Stage recorders, recording thermistors, sediment traps, and underflow monitoring equipment were deployed during the 1999 melt season. Episodic proximal turbidity currents were measured as positive near-bottom temperature anomalies and currents. The timing of individual positive temperature anomalies was clearly associated with diurnal peaks of discharge into the lake. During the period of 23 to 25 July, continuous underflow occurred, which preceded a large discharge event by about 24 h. Sediment traps placed throughout the lake recorded sediment accumulation rates from 16 June to 4 August. An extremely large precipitation event occurred on 29 June, when coarse, carbonate-rich sediment was deposited in front of a secondary tributary by spatially limited turbidity currents. A niveo-eolian deposit was observed on the lake ice, and sediment traps were deployed under this area. Mass accumulation rates in these traps locally overwhelmed fluvially generated sedimentation. This sediment was dominantly sand, which quickly melted through the lake ice and hastened the date of localized break-up.</t>
  </si>
  <si>
    <t>Queens Univ, Dept Geog, Kingston, ON K7L 3N6, Canada</t>
  </si>
  <si>
    <t>Queens University - Canada</t>
  </si>
  <si>
    <t>Univ Massachusetts, Dept Geosci, Climate Syst Res Ctr, Amherst, MA 01003 USA.</t>
  </si>
  <si>
    <t>lewist@geo.umass.edu</t>
  </si>
  <si>
    <t>INST ARCTIC ALPINE RES</t>
  </si>
  <si>
    <t>UNIV COLORADO, BOULDER, CO 80309 USA</t>
  </si>
  <si>
    <t>1523-0430</t>
  </si>
  <si>
    <t>1938-4246</t>
  </si>
  <si>
    <t>ARCT ANTARCT ALP RES</t>
  </si>
  <si>
    <t>Arct. Antarct. Alp. Res.</t>
  </si>
  <si>
    <t>MAY</t>
  </si>
  <si>
    <t>10.2307/1552463</t>
  </si>
  <si>
    <t>Environmental Sciences; Geography, Physical</t>
  </si>
  <si>
    <t>Environmental Sciences &amp; Ecology; Physical Geography</t>
  </si>
  <si>
    <t>575RW</t>
  </si>
  <si>
    <t>WOS:000176962800001</t>
  </si>
  <si>
    <t>Lamoureux, SF; Gilbert, R; Lewis, T</t>
  </si>
  <si>
    <t>Lacustrine sedimentary environments in high arctic proglacial Bear Lake, Devon Island, Nunavut, Canada</t>
  </si>
  <si>
    <t>NORTHERN ELLESMERE ISLAND; GLACIER-FED LAKE; BRITISH-COLUMBIA; BAFFIN ISLAND; ICE-SHEET; RECORD; DEGLACIATION; PATTERNS; VARVES; NWT</t>
  </si>
  <si>
    <t>Combined catchment, subbottom acoustic, and sedimentary studies of high arctic, proglacial Bear Lake, Devon Island, were carried Out to evaluate the role lacustrine processes and Holocene catchment evolution have had oil the sedimentary record. In the proximal basin, bottom deposits up to 60 in thick are generated ill part by turbid underflows associated with peak meltwater flow from the Devon Island Ice Cap. These underflows produce rhythmically laminated Structures that are likely varves. In shallower locations. accumulation is slower and results from homopycnal distribution of fine suspended sediment throughout the proximal basin, resulting in a simple varve couplet. The distal basin is isolated from glacial meltwater by a shallow sill, although some fine-grained detrital carbonate transported by the glacial meltwater is deposited in both basins. In most locations in the distal basin Holocene sediments are less than 10 in thick. They are composed primarily of massive clay and some carbonate interrupted by irregular graded carbonate units produced by sporadic heavy summer rainfall and sediment transport from small plateau tributaries. Eolian sedimentation is also important throughout the lake, especially when high accumulations melt through the ice in the proximal basin, producing isolated grains and layers of coarse sand in the sedimentary record. Holocene ice margin changes have influenced the sedimentary record substantially, particularly during the mid-Holocene when the ice cap is inferred to have retreated from the catchment.</t>
  </si>
  <si>
    <t>Lamoureux, SF (corresponding author), Queens Univ, Dept Geog, Kingston, ON K7L 3N6, Canada.</t>
  </si>
  <si>
    <t>10.2307/1552464</t>
  </si>
  <si>
    <t>WOS:000176962800002</t>
  </si>
  <si>
    <t>Krainer, K; Mostler, W</t>
  </si>
  <si>
    <t>Hydrology of active rock glaciers: Examples from the Austrian Alps</t>
  </si>
  <si>
    <t>GALENA CREEK; ABSAROKA MOUNTAINS; ORIGIN; SYSTEM</t>
  </si>
  <si>
    <t>Hydrological investigations of three active rock glaciers in the Austrian Alps (Reichenkar rock glacier in the western Stubai Alps, Kaiserberg rock glacier in the western Otztal Alps. and Gossnitz rock glacier in the Schobergruppe) demonstrate that discharge is mainly controlled by the local weather conditions, the thermal properties of the debris layer, and the physical mechanisms that control the flow of meltwater through the rock glacier. Discharge of active rock glaciers is characterized by strong seasonal and diurnal variations. Water derived from snowmelt and summer thunderstorms is quickly released causing floods. Fair weather periods with intense melting of snow and ice cause pronounced diurnal variations in discharge. Water temperature of active rock glacier springs is constantly below 1degreesC during the whole melt season. Electrical conductivity of the water is low during high discharges due to high amounts of meltwater derived from snow/icemelt and/or precipitation, and high during cold weather periods and in autumn when discharge is very low and consists mainly of groundwater. The discharge pattern of active rock glaciers is similar to that of glaciers due to similar meltwater sources and flow paths. However. the average yearly mean specific discharge from active rock glaciers is significantly lower than that of glaciers.</t>
  </si>
  <si>
    <t>Univ Innsbruck, Inst Geol &amp; Paleontol, A-6020 Innsbruck, Austria</t>
  </si>
  <si>
    <t>University of Innsbruck</t>
  </si>
  <si>
    <t>Krainer, K (corresponding author), Univ Innsbruck, Inst Geol &amp; Paleontol, Innrain 52, A-6020 Innsbruck, Austria.</t>
  </si>
  <si>
    <t>Karl.Krainer@uibk.ac.at</t>
  </si>
  <si>
    <t>10.2307/1552465</t>
  </si>
  <si>
    <t>WOS:000176962800003</t>
  </si>
  <si>
    <t>Lorrain, R; Sleewaegen, S; Fitzsimons, S; Stiévenard, M</t>
  </si>
  <si>
    <t>Ice formation in an antarctic glacier-dammed lake and implications for glacier-lake interactions</t>
  </si>
  <si>
    <t>ISOTOPIC COMPOSITION; AIR CONTENT; POLAR ICE; BASAL ICE; WATER; CORE; PARAMETERS; RECORD; CO2</t>
  </si>
  <si>
    <t>Perennially frozen lakes are common features in the McMurdo Dry Valleys of South Victoria Land in Antarctica. Some of them, called wet based, contain liquid water capped by a permanent ice cover between 2.5 and 6 in in thickness. The others, called dry based, are ice-block lakes. The thickness of the latter may far exceed those of the former. Their level is rising from freezing of the surface flooding of summer meltwater. However, we show here for the first time, using isotopic analyses together with an ionic and gas content and composition study, that the ice of one of these dry-based lakes has been formed by complete freezing from top to bottom of a closed water reservoir and not by successive layers of icings (aufeis) piling on top of each other. We also show how this lake, dammed by a cold-based glacier. has contributed to the formation of the basal ice layer of this glacier.</t>
  </si>
  <si>
    <t>Free Univ Brussels, Dept Sci Terre, B-1050 Brussels, Belgium; Univ Otago, Dept Geog, Dunedin, New Zealand; Ctr Etud Saclay, CNR, CEA, Lab Sci Climat &amp; Environm, F-91191 Gif Sur Yvette, France</t>
  </si>
  <si>
    <t>Universite Libre de Bruxelles; University of Otago; Universite Paris Saclay; CEA; Centre National de la Recherche Scientifique (CNRS)</t>
  </si>
  <si>
    <t>Lorrain, R (corresponding author), Free Univ Brussels, Dept Sci Terre, CP 160-03, B-1050 Brussels, Belgium.</t>
  </si>
  <si>
    <t>Fitzsimons, Sean/C-4024-2009</t>
  </si>
  <si>
    <t>10.2307/1552466</t>
  </si>
  <si>
    <t>WOS:000176962800004</t>
  </si>
  <si>
    <t>Porazinska, DL; Wall, DH</t>
  </si>
  <si>
    <t>Population age structure of nematodes in the antarctic dry valleys: Perspectives on time, space, and habitat suitability</t>
  </si>
  <si>
    <t>TAYLOR VALLEY; COMMUNITY STRUCTURE; SOIL INVERTEBRATES; DIVERSITY; BIODIVERSITY; ENVIRONMENT; ECOSYSTEM; STREAMS; WATER</t>
  </si>
  <si>
    <t>Patterns of nematode population dynamics in an extreme environment were studies in the McMurdo Dry Valleys of Antarctica. Nematode populations are sensitive to soil disturbance and are useful indicators of environmental change. We hypothesized that the pristine soil environments of Antarctica that are suitable for life would support stable both spatially and temporally nematode populations. We established three sampling sites across an elevation gradient in Taylor Valley and sampled each site at larger and smaller spatial scales three-times over a 6-yr period (1993, 1995, and 1999). Nematode variables and soil moisture were significantly different among years. Soil moisture, nematode abundance, and life cycle parameters varied also with elevation, but not spatial scale at the grid size over the 6 yr. Generally, soil moisture declined during the time of the study and was greatest at the lowest elevation. Throughout the 6 yr, Scottnema lindsavae was most abundant at the highest elevation and dominated all sites, while Eudorylaimus antarcticus was most abundant at the lowest elevation. Plectus antarcticus was present only at the lowest elevation. While Scottnema was negatively correlated with soil moisture, Eudorylaimus and Plectus showed a positive relationship. Similarities among nematode species in life cycle characteristics (e.g., long life cycles and low reproductive rates) may indicate adaptive strategy for survival in the Dry Valleys soil environments. The differences, however, may indicate species specific sensitivity to changes in the soil characteristics such as moisture. Temporal variation of variables describing nematode populations in Antarctic soil suggests the nematode species respond to short-term climate variation and, thus, may be affected by long-term climate change.</t>
  </si>
  <si>
    <t>Colorado State Univ, Nat Resource Ecol Lab, Ft Collins, CO 80523 USA; Dartmouth Coll, Environm Studies Program, Hanover, NH 03755 USA</t>
  </si>
  <si>
    <t>Colorado State University; Dartmouth College</t>
  </si>
  <si>
    <t>Colorado State Univ, Nat Resource Ecol Lab, Ft Collins, CO 80523 USA.</t>
  </si>
  <si>
    <t>dorota@nrel.colostate.edu; diana@nrel.colostate.edu</t>
  </si>
  <si>
    <t>Wall, Diana H/F-5491-2011</t>
  </si>
  <si>
    <t>10.2307/1552467</t>
  </si>
  <si>
    <t>WOS:000176962800005</t>
  </si>
  <si>
    <t>Bergstrom, DM; Whinam, J; Belbin, L</t>
  </si>
  <si>
    <t>A classification of subantarctic Heard Island vegetation</t>
  </si>
  <si>
    <t>The vascular and bryophyte floras of subantarctic Heard Island were classified using cluster analysis into six vegetation communities: Open Cushion Carpet, Mossy Feldmark, Wet Mixed Herbfield, Coastal Biotic Vegetation, Saltspray Vegetation, and Closed Cushion Carpet. Multidimensional scaling indicated that the vegetation communities were not well delineated but were continua. Discriminant analysis and a classification tree identified altitude, wind, peat depth, bryophyte cover and extent of bare ground, and particle size as discriminating variables. The combination of small area, glaciation, and harsh climate has resulted in reduced vegetation variety in comparison to those subantarctic islands north of the Antarctic Polar Front Zone. Some of the functional groups and vegetation communities found on warmer subantarctic islands are not present on Heard Island, notably ferns and sedges and fernbrakes and extensive mires, respectively.</t>
  </si>
  <si>
    <t>Univ Queensland, Dept Bot, Brisbane, Qld 4072, Australia; Dept Primary Ind Water &amp; Environm, Nat Conservat Branch, Hobart, Tas 7001, Australia; Australian Antarctic Div, Kingston, Tas 7050, Australia</t>
  </si>
  <si>
    <t>University of Queensland; Australian Antarctic Division</t>
  </si>
  <si>
    <t>Bergstrom, DM (corresponding author), Australian Antarctic Div, Channel Highway, Kingston, Tas 7050, Australia.</t>
  </si>
  <si>
    <t>Bergstrom, Dana/AAC-2837-2022</t>
  </si>
  <si>
    <t>Bergstrom, Dana/0000-0001-8484-8954; Belbin, Lee/0000-0001-8900-6203</t>
  </si>
  <si>
    <t>10.2307/1552468</t>
  </si>
  <si>
    <t>WOS:000176962800006</t>
  </si>
  <si>
    <t>Muñoz, AA; Arroyo, MTK</t>
  </si>
  <si>
    <t>Postdispersal seed predation on Sisyrinchium arenarium (Iridaceae) at two elevations in the central Chilean Andes</t>
  </si>
  <si>
    <t>MEDITERRANEAN ANT COMMUNITIES; HIGH TEMPERATE ANDES; REPRODUCTIVE SUCCESS; POLLINATION ECOLOGY; RECRUITMENT; PLANTS; DISPERSAL; DYNAMICS; FOREST; DESERT</t>
  </si>
  <si>
    <t>Postdispersal seed predation in alpine communities has received surprisingly little attention. We evaluate the magnitude of seed predation by ants and avian granivores in the perennial herb Sisyrinchium arenarium through a field experiment at two different elevations (2700 and 2000 in) in the central Chilean Andes. A total of 96 pots, containing 50 seeds each, were placed at each elevation and randomly assigned to one of four treatments: control, bird exclusion, ant exclusion, and total exclusion (wind control). We also compare the activity of ants and avian granivores at the two elevations. Mean percentage seed removal by wind was 23 and 21% at 2700 and 2000 in elevation, respectively. Overall, after subtracting seed loss by wind, seed removal by granivores was low at both sites (2-14%). although it was significantly greater at the higher elevation (2700 m). This was concordant with the greater activity of ants and granivorous birds there. Seed removal by ants was greater than by birds at the higher site (14 vs. 4%. respectively), but did not differ at the lower elevation (3 vs. 2%, respectively). Results contrast with those reported for central Chilean mediterranean-type climate shrublands at lower elevations where avian and rodent granivory is important, while that by ants is low. Future studies considering plant species with different seed characteristics (e.g., size, shape, energetic Value) and taxonomic affiliation will be necessary to assess the general importance of this ecological process in the central Chilean Andes and alpine areas in general.</t>
  </si>
  <si>
    <t>Univ Chile, Fac Ciencias, Lab Sistemat &amp; Ecol Vegetal, Santiago, Chile</t>
  </si>
  <si>
    <t>Universidad de Chile</t>
  </si>
  <si>
    <t>Muñoz, AA (corresponding author), Univ Chile, Fac Ciencias, Lab Sistemat &amp; Ecol Vegetal, Casilla 653, Santiago, Chile.</t>
  </si>
  <si>
    <t>10.2307/1552469</t>
  </si>
  <si>
    <t>WOS:000176962800007</t>
  </si>
  <si>
    <t>Kudo, G; Suzuki, S</t>
  </si>
  <si>
    <t>Relationships between flowering phenology and fruit-set of dwarf shrubs in Alpine Fellfields in northern Japan: A comparison with a subarctic heathland in northern Sweden</t>
  </si>
  <si>
    <t>REPRODUCTIVE SUCCESS; ACTIVITY PATTERNS; VISITATION RATES; POLLINATION; PLANTS; TIME; ERICACEAE; VACCINIUM; DIPTERA; ECOLOGY</t>
  </si>
  <si>
    <t>Relationships between flowering phenology and fruit-set of 10 ericaceous species were studied in three alpine fellfields in the Taisetsu Mountains, northern Japan. Flowering season varied from late May to early August among species. There was a positive correlation between flowering time and fruit-set under natural conditions. Pollinator exclusion by net-bagging and hand-pollination revealed that very low fruit-set in early-flowering species was caused by severe pollen limitation, while late-flowering species tended to have high fruit-set with slight pollen limitation. Such seasonal patterns reflect the changes in seasonal activity of pollinating insects, which are highly influenced by ambient temperature. A similar research program was conducted in a subarctic heathland in northern Sweden with almost similar species composition. In Sweden, however, there was no positive correlation between flowering time and fruit-set. The difference between the alpine fellfields and the subarctic heathland may be caused by the specific seasonal pattern of temperature change in either region. A steep increase in air temperature from early to mid-summer in the alpine fellfields in Japan may cause all increase in pollinator availability with progress of season.</t>
  </si>
  <si>
    <t>Hokkaido Univ, Grad Sch Environm Earth Sci, Sapporo, Hokkaido 0600810, Japan</t>
  </si>
  <si>
    <t>Hokkaido University</t>
  </si>
  <si>
    <t>Hokkaido Univ, Grad Sch Environm Earth Sci, Sapporo, Hokkaido 0600810, Japan.</t>
  </si>
  <si>
    <t>gaku@ees.hokudai.ac.jp</t>
  </si>
  <si>
    <t>Kudo, Gaku/A-2733-2015</t>
  </si>
  <si>
    <t>Kudo, Gaku/0000-0002-6488-818X</t>
  </si>
  <si>
    <t>10.2307/1552470</t>
  </si>
  <si>
    <t>WOS:000176962800008</t>
  </si>
  <si>
    <t>Kajimoto, T; Seki, T; Ikeda, S; Daimaru, H; Okamoto, T; Onodera, H</t>
  </si>
  <si>
    <t>Effects of snowfall fluctuation on tree growth and establishment of subalpine Abies mariesii near upper forest-limit of Mt. Yumori, northern Japan</t>
  </si>
  <si>
    <t>SUB-ARCTIC QUEBEC; CONIFEROUS FORESTS; GAP CHARACTERISTICS; WHITE SPRUCE; PICEA-ABIES; REGENERATION; CANADA; LINE; MORTALITY; PATTERN</t>
  </si>
  <si>
    <t>We examined effects of annual snowfall fluctuation on tree growth and establishment in a mature stand (ca. 200 yr old) of Japanese subalpine Abies mariesii Mast. near upper forest-limits at leeward site. Relatively tall and aged fir trees (&gt;5 m, &gt;100 yr old) retained various scars of past mechanical damage due to snow pressures, e.g., multiple-, tip dieback- and broken-stems, and canopy anomaly. Ring-width pattern analysis showed that these deformed trees mostly experienced abrupt growth reduction. Some events of such abrupt growth reduction occurred simultaneously just after winters with heavy snowfall (e.g., mid-1960s), indicating that the A. mariesii trees often suffered from snow damage due to settlement force of excess snowpack. Particularly, in snowy winters, mechanical breakage of branches was likely to occur intensively at the height of I to 3 m above the maximum snowpack level of normal snowfall winters (ca. 3 m). On the other hand, some aged, but suppressed, trees sharply enhanced their growth rates simultaneously after such period of the intensive snow damage. This indicated that the snow damage upon the relatively tall trees sometimes facilitated regeneration of nearby shaded-trees by creating small-scale gaps. The snow-induced disturbance events may have occurred at about 10-yr intervals during the last half of 20th century. Our findings suggested that population dynamics of A. mariesii near its upper forest-limit, especially located at leeward and snowy site, was closely affected by the repetitive events of snow damage following snowy winters: the event primarily acted as a major limiting factor for canopy development of individuals, and sometimes triggered growth of suppressed-trees.</t>
  </si>
  <si>
    <t>Tohoku Res Ctr, Forestry &amp; Forest Prod Res Inst, Morioka, Iwate 0200123, Japan; Kyushu Res Ctr, Forestry &amp; Forest Prod Res Inst, Kumamoto 8600862, Japan; Yamagata Univ, Fac Agr, Wakaba, Tsuruoka 9978555, Japan</t>
  </si>
  <si>
    <t>Forestry &amp; Forest Products Research Institute - Japan; Forestry &amp; Forest Products Research Institute - Japan; Yamagata University</t>
  </si>
  <si>
    <t>Kajimoto, T (corresponding author), Tohoku Res Ctr, Forestry &amp; Forest Prod Res Inst, Nabeyashiki 92-25, Morioka, Iwate 0200123, Japan.</t>
  </si>
  <si>
    <t>10.2307/1552471</t>
  </si>
  <si>
    <t>WOS:000176962800009</t>
  </si>
  <si>
    <t>Srutek, M; Dolezal, J; Hara, T</t>
  </si>
  <si>
    <t>Spatial structure and associations in a Pinus canariensis population at the treeline, Pico del Teide, Tenerife, Canary Islands</t>
  </si>
  <si>
    <t>FOREST; GROWTH; COMPETITION; REGENERATION; ENVIRONMENT; VEGETATION; TIMBERLINE; DYNAMICS; PATTERN; COEXISTENCE</t>
  </si>
  <si>
    <t>Variation in spatial pattern and its consequences for intraspecific associations, regeneration, and allometric relationships in a population of Pinus canariensis was studied along an altitudinal gradient at the treeline on the west-northwest slope of Pico del Teide (Mount Teide) in Tenerife, Canary Islands. We sampled 11 plots (20 by 20 m), situated 30 m a.s.l. apart along a 4380 m transect which ran from the treeline at (2020 m a.s.l.) to the forest interior (1720 in a.s.l.). In each plot, we recorded height, diameter at breast height (DBH) and location of all tree stems (&gt; 130 cm in height), number of seedlings and saplings, and percent cover of vegetation layers. Stand basal area and maximum tree height decreased with altitude. The spatial distribution of P. canariensis was characterized by increasing regularity with tree size irrespective of altitude. The decrease in intensity of clumping with tree-size and the uniform pattern in older stages indicated intraspecific resource competition. The tree response to increasing altitude was largely associated with restricted height growth. At the treeline, the trees similar in diameter to those of lower-altitude sites were substantially shorter. The seedling and sapling density decreased significantly with increased altitude and increased in stands with increased basal area and canopy cover. Tree density along the altitudinal transect was similar, but trees at high-altitudes were shorter with smaller crowns, thus creating less favorable conditions for seedling and sapling survival. The positive or facilitating relationship between canopy trees and seedlings and saplings suggests that environmental factors (here stressful conditions) perform a key role in seedling establishment. Our results suggest that competitive relationships among canopy trees play a key role in generating stand structure.</t>
  </si>
  <si>
    <t>Univ S Bohemia, Fac Biol Sci, CZ-37005 Ceske Budejovice, Czech Republic; Inst Bot, Dept Plant Ecol, CZ-37982 Trebon, Czech Republic; Hokkaido Univ, Inst Low Temp Sci, Cryosphere Sci Res Sect, Sapporo, Hokkaido 0600819, Japan</t>
  </si>
  <si>
    <t>Czech Academy of Sciences; University of South Bohemia Ceske Budejovice; Czech Academy of Sciences; Institute of Botany of the Czech Academy of Sciences; Hokkaido University</t>
  </si>
  <si>
    <t>Srutek, M (corresponding author), Benesov 14, CZ-39470 Kamenice NL, Czech Republic.</t>
  </si>
  <si>
    <t>Hara, Toshihiko/D-8016-2012; Doležal, Jiří/H-1583-2014</t>
  </si>
  <si>
    <t>Dolezal, Jiri/0000-0002-5829-4051</t>
  </si>
  <si>
    <t>10.2307/1552472</t>
  </si>
  <si>
    <t>WOS:000176962800010</t>
  </si>
  <si>
    <t>Gough, L; Wookey, PA; Shaver, GR</t>
  </si>
  <si>
    <t>Dry heath arctic tundra responses to long-term nutrient and light manipulation</t>
  </si>
  <si>
    <t>SIMULATED ENVIRONMENTAL-CHANGE; POLAR SEMIDESERT; SPECIES COMPOSITION; ALASKAN TUNDRA; BIOMASS; TEMPERATURE; VEGETATION; FERTILIZER; NITROGEN; PLANTS</t>
  </si>
  <si>
    <t>Long-term fertilization dramatic responses of ecosystem properties. studies in several arctic ecosystems have demonstrated plant community structure with concomitant changes in Although these results are well documented in moist tussock and wet sedge tundra, dry heath tundra has been less studied. In an Alaskan dry heath arctic tundra, we conducted a biomass harvest of plants that received additional nitrogen (N, 10 g m(-2) yr(-1)) and/or phosphorus (P, 5 g m(-2) yr(-1)) or reduced light (50% of ambient) for 8 yr. We expected responses to be similar to those of other arctic tundra communities with increased biomass resulting from added nutrients and species responding individualistically to generate the community-level response. However, total vascular biomass did not change in the dry heath tundra in response to any treatment, although individual species and functional group biomass differed from controls. Aboveground productivity, estimated using new apical growth, significantly increased in the N and N+P plots caused by significantly greater abundance of a tussock-forming grass, Hierochloe alpina. The lowest species richness was recorded in the N alone plots, where a deciduous shrub, Betula nana, had its greatest biomass, and richness also declined in N+P plots. Plots that received P alone had similar biomass and species richness to controls, although shrubs decreased in abundance. The shade treatment caused minor biomass differences, marginally less new apical growth, and slightly lower species richness compared to control plots. These results were similar to several ongoing studies in Alaskan moist tussock and wet sedge tundras where aboveground productivity increased in response to added N and/or P but biomass response lagged. This shift in the dry heath tundra from an evergreen shrub to a grass dominated system in the N and N+P plots may cause profound ecosystem function changes as woody biomass capable of long-term carbon storage is lost.</t>
  </si>
  <si>
    <t>Marine Biol Lab, Ctr Ecosyst, Woods Hole, MA 02543 USA; Uppsala Univ, Inst Earth Sci, S-75236 Uppsala, Sweden</t>
  </si>
  <si>
    <t>Marine Biological Laboratory - Woods Hole; Uppsala University</t>
  </si>
  <si>
    <t>Gough, L (corresponding author), Univ Alabama, Dept Biol Sci, Tuscaloosa, AL 35487 USA.</t>
  </si>
  <si>
    <t>Wookey, Philip/AAA-6271-2020</t>
  </si>
  <si>
    <t>Wookey, Philip/0000-0001-5957-6424</t>
  </si>
  <si>
    <t>10.2307/1552473</t>
  </si>
  <si>
    <t>WOS:000176962800011</t>
  </si>
  <si>
    <t>Kotanen, PM</t>
  </si>
  <si>
    <t>Fates of added nitrogen in freshwater arctic wetlands grazed by Snow Geese: The role of mosses</t>
  </si>
  <si>
    <t>ABOVEGROUND PRIMARY PRODUCTION; PLANT-GROWTH; BYLOT ISLAND; HABITAT USE; RESPONSES; LEAF; LIMITATION; DEMOGRAPHY; COMMUNITY; RELEASE</t>
  </si>
  <si>
    <t>Previous studies have shown that the growth of freshwater grasses and sedges eaten by breeding colonies of Snow Geese responds weakly to nitrogen additions, and also is poorly able to compensate within the same season for tissues lost to geese. These results contrast with the rapid responses to grazing and fertilization that have been observed in salt-marsh species. A possible explanation is that the mosses prominent in freshwater wetlands rapidly sequester added nitrogen, preventing access by forage species to the fecal inputs provided by foraging geese. To investigate this hypothesis, I added ecologically realistic amounts of ammonium and nitrate labelled with N-15 to the surface and rooting zone of experimental plots in freshwater wetland vegetation at two Snow Goose colonies. Results indicate that the presence of mosses did not prevent forage species from rapidly taking up ammonium and nitrate added either at or below the moss surface. Nonetheless, most of the added N-15 was absorbed by the moss layer; consequently, mosses tend to divert nitrogen away from forage species and into long-lasting peat. In the long term, this may reduce the ability of freshwater forage plants to recover from damage by increasing populations of Snow Geese.</t>
  </si>
  <si>
    <t>Univ Toronto, Dept Bot, Mississauga, ON L5L 1C6, Canada</t>
  </si>
  <si>
    <t>University of Toronto; University Toronto Mississauga</t>
  </si>
  <si>
    <t>Univ Toronto, Dept Bot, 3359 Mississauga Rd N, Mississauga, ON L5L 1C6, Canada.</t>
  </si>
  <si>
    <t>pkotanen@credit.erin.utoronto.ca</t>
  </si>
  <si>
    <t>Kotanen, Peter/0000-0002-7842-8715</t>
  </si>
  <si>
    <t>10.2307/1552474</t>
  </si>
  <si>
    <t>WOS:000176962800012</t>
  </si>
  <si>
    <t>Humlum, O</t>
  </si>
  <si>
    <t>Discussion of Glacial recession in Sorkappland and central Nordenskioldland, Spitsbergen, Svalbard, during the 20th century by Wieslaw Ziaja</t>
  </si>
  <si>
    <t>Letter</t>
  </si>
  <si>
    <t>Univ Courses Svalbard UNIS, N-9170 Longyearbyen, Svalbard, Norway</t>
  </si>
  <si>
    <t>University Centre Svalbard (UNIS)</t>
  </si>
  <si>
    <t>Humlum, O (corresponding author), Univ Courses Svalbard UNIS, N-9170 Longyearbyen, Svalbard, Norway.</t>
  </si>
  <si>
    <t>Ziaja, Wieslaw/0000-0003-1087-736X</t>
  </si>
  <si>
    <t>10.2307/1552475</t>
  </si>
  <si>
    <t>WOS:000176962800013</t>
  </si>
  <si>
    <t>Ziaja, W</t>
  </si>
  <si>
    <t>Discussion of Glacial recession in Sorkappland and central Nordenskioldland, Spitsbergen, Svalbard, during the 20th century by Wieslaw Ziaja - Reply</t>
  </si>
  <si>
    <t>WEST GREENLAND; ROCK GLACIERS</t>
  </si>
  <si>
    <t>Jagiellonian Univ, Inst Geog &amp; Spatial Management, PL-31044 Krakow, Poland</t>
  </si>
  <si>
    <t>Jagiellonian University</t>
  </si>
  <si>
    <t>Ziaja, W (corresponding author), Jagiellonian Univ, Inst Geog &amp; Spatial Management, Ul Grodzka 64, PL-31044 Krakow, Poland.</t>
  </si>
  <si>
    <t>WOS:000176962800014</t>
  </si>
  <si>
    <t>Peterson, M; Barber, D; Green, S</t>
  </si>
  <si>
    <t>Monte Carlo modeling and measurements of actinic flux levels in Summit, Greenland snowpack</t>
  </si>
  <si>
    <t>ATMOSPHERIC ENVIRONMENT</t>
  </si>
  <si>
    <t>snow; photochemistry; radiative transfer; radiometer; ice</t>
  </si>
  <si>
    <t>ANTARCTIC SEA ICE; ABSORPTION-COEFFICIENTS; TRANSMISSION; RADIATION; CLOUDS; COVER; NOX; UV; NM</t>
  </si>
  <si>
    <t>Knowledge of actinic flux levels in snowpack is needed to find the influence of snowpack photochemical processes on atmospheric composition. Measurements show that while &lt;0.2% of direct UV and visible light is transmitted through 0.7cm of snowpack, downwelling actinic flux levels are at least 10% of incident levels at a depth of 10cm within the snowpack. This results from the highly forward-scattering nature of the snowgrains within the snowpack. A I-D Monte Carlo model of photon scattering from, and absorption in, snowgrains accurately simulates relative actinic flux levels in a horizontally homogeneous, vertically layered representation of the upper meter of Summit, Greenland snowpack. The resulting relative actinic flux levels may be used with other measurements, or with other radiative transfer models, to estimate absolute actinic flux levels within the snowpack at Summit. Results from the 1-D Monte Carlo model also demonstrate that buried radiometers which completely block upward scattered light from lower layers observe e-folding depths that may be more than an order of magnitude lower than actual values. Additional simulations with a 2- or 3-D Monte Carlo model are needed to quantify the magnitude of this effect for partial blocking of scattered light. (C) 2002 Elsevier Science Ltd. All rights reserved.</t>
  </si>
  <si>
    <t>Michigan Technol Univ, Dept Civil &amp; Environm Engn, Houghton, MI 49931 USA; Michigan Technol Univ, Dept Chem, Houghton, MI 49931 USA</t>
  </si>
  <si>
    <t>Michigan Technological University; Michigan Technological University</t>
  </si>
  <si>
    <t>Peterson, M (corresponding author), Michigan Technol Univ, Dept Civil &amp; Environm Engn, 1400 Townsend Dr, Houghton, MI 49931 USA.</t>
  </si>
  <si>
    <t>Green, Sarah/0000-0002-8094-433X</t>
  </si>
  <si>
    <t>1352-2310</t>
  </si>
  <si>
    <t>ATMOS ENVIRON</t>
  </si>
  <si>
    <t>Atmos. Environ.</t>
  </si>
  <si>
    <t>MAY-JUN</t>
  </si>
  <si>
    <t>15-16</t>
  </si>
  <si>
    <t>PII S1352-2310(02)00133-4</t>
  </si>
  <si>
    <t>10.1016/S1352-2310(02)00133-4</t>
  </si>
  <si>
    <t>Environmental Sciences; Meteorology &amp; Atmospheric Sciences</t>
  </si>
  <si>
    <t>Environmental Sciences &amp; Ecology; Meteorology &amp; Atmospheric Sciences</t>
  </si>
  <si>
    <t>569QU</t>
  </si>
  <si>
    <t>WOS:000176614200009</t>
  </si>
  <si>
    <t>Poppe, F; Hanelt, D; Wiencke, C</t>
  </si>
  <si>
    <t>Changes in ultrastructure, photosynthetic activity and pigments in the antarctic red alga Palmaria decipiens during acclimation to UV radiation</t>
  </si>
  <si>
    <t>BOTANICA MARINA</t>
  </si>
  <si>
    <t>ULTRAVIOLET-B RADIATION; ARCTIC MACROALGAE; LIGHT-INTENSITY; CHLOROPHYLL FLUORESCENCE; CHLOROPLAST STRUCTURE; ELECTRON MICROSCOPY; FREEZE-SUBSTITUTION; DEPTH DISTRIBUTION; MARINE MACROALGAE; IRIDAEA-CORDATA</t>
  </si>
  <si>
    <t>The effect of ultraviolet (UV) radiation on ultrastructure, variable fluorescence of photosystem 11 and concentrations of photosynthetic pigments in the endemic Antarctic Rhodophyta Palmaria decipiens was studied. After 6 and 8 h of artificial UV-exposure a vesiculation of the chloroplast thylakoids and changes in the membrane structure of mitochondria were observed, which disappeared after 12 h of UV treatment. A 60 % reduction of maximum quantum yield of photosynthesis (F-v/F-m) was obtained after 4 h of UV-A+B exposure, which recovered up to 80 % after 8 h in darkness and 10 h of white light. Exclusion of UV-B led to a minor reduction of F-v/F-m to 60 % in the first 4 h of irradiation. The concentration of chlorophyll a increased after 4 h of UV exposure, whereas concentrations of phycoerythrin and phycocyanin decreased at the same time. After 12-16 h of UV exposure no significant changes compared to the control were detectable. These findings give an insight into the fine structural and physiological changes during and after UV exposure, and indicate an acclimation of the alga to UV radiation.</t>
  </si>
  <si>
    <t>Alfred Wegener Inst Polar &amp; Marine Res, D-27570 Bremerhaven, Germany; Biol Inst Helgoland, D-27483 Helgoland, Germany</t>
  </si>
  <si>
    <t>Helmholtz Association; Alfred Wegener Institute, Helmholtz Centre for Polar &amp; Marine Research</t>
  </si>
  <si>
    <t>Poppe, F (corresponding author), Alfred Wegener Inst Polar &amp; Marine Res, Handelshafen 12, D-27570 Bremerhaven, Germany.</t>
  </si>
  <si>
    <t>fpoppe@awi-bremerhaven.de</t>
  </si>
  <si>
    <t>Hanelt, Dieter/E-6659-2017</t>
  </si>
  <si>
    <t>WALTER DE GRUYTER GMBH</t>
  </si>
  <si>
    <t>BERLIN</t>
  </si>
  <si>
    <t>GENTHINER STRASSE 13, D-10785 BERLIN, GERMANY</t>
  </si>
  <si>
    <t>0006-8055</t>
  </si>
  <si>
    <t>1437-4323</t>
  </si>
  <si>
    <t>BOT MAR</t>
  </si>
  <si>
    <t>Bot. Marina</t>
  </si>
  <si>
    <t>10.1515/BOT.2002.024</t>
  </si>
  <si>
    <t>Plant Sciences; Marine &amp; Freshwater Biology</t>
  </si>
  <si>
    <t>558FB</t>
  </si>
  <si>
    <t>WOS:000175954700005</t>
  </si>
  <si>
    <t>Stark, LR</t>
  </si>
  <si>
    <t>Skipped reproductive cycles and extensive sporophyte abortion in the desert moss Tortula inermis correspond to unusual rainfall patterns</t>
  </si>
  <si>
    <t>CANADIAN JOURNAL OF BOTANY-REVUE CANADIENNE DE BOTANIQUE</t>
  </si>
  <si>
    <t>sporophyte abortion; bryophyte; desert; Tortula; desiccation</t>
  </si>
  <si>
    <t>ENTODON-CLADORRHIZANS BRYOPSIDA; DESICCATION-TOLERANCE; HYLOCOMIUM-SPLENDENS; POLYTRICHUM-COMMUNE; SEXUAL REPRODUCTION; ANTARCTIC MOSSES; MOJAVE DESERT; PHOTOSYNTHESIS; PHENOLOGY; BIOLOGY</t>
  </si>
  <si>
    <t>A phenological assessment of Tortula inermis (Brid.) Mont. populations in the Mojave Desert, Nevada, U.S.A., over a period of 4 years revealed that the sporophyte cohort initiated in early 1995 remained dormant until early 1998, by which time approximately 66% of the sporophytes had aborted. The viable sporophytes of this cohort were significantly shorter in length and had significantly less biomass than the previous cohort of sporophytes. In the intervening years 1996 and 1997, the sexual reproductive cycle was skipped altogether. The absence of sporophyte initiation in these two years was attributed to reduced winter-spring rainfall. The majority of abortive sporophytes aborted in the late embryonic and seta elongation phenophases. The 1997 and 1998 summers were characterized by unusually heavy rains. Following the heavy summer rain events of 1997, sporophyte abortion in the 1995 cohort increased from 9 to 43%, and abortive sporophytes in this cohort further increased to 66% following the summer rains of 1998. Abortive sporophyte biomass averaged 49 mug or 33% of the mean biomass of the viable sporophytes in the cohort at maturity. These data suggest that the summer rain events precipitated two waves of sporophyte abortion, possibly through heavy membrane damage associated with rapid drying and high temperatures while hydrated.</t>
  </si>
  <si>
    <t>Univ Nevada, Dept Biol Sci, Las Vegas, NV 89154 USA</t>
  </si>
  <si>
    <t>Nevada System of Higher Education (NSHE); University of Nevada Las Vegas</t>
  </si>
  <si>
    <t>Stark, LR (corresponding author), Univ Nevada, Dept Biol Sci, 4505 Maryland Pkwy, Las Vegas, NV 89154 USA.</t>
  </si>
  <si>
    <t>0008-4026</t>
  </si>
  <si>
    <t>CAN J BOT</t>
  </si>
  <si>
    <t>Can. J. Bot.-Rev. Can. Bot.</t>
  </si>
  <si>
    <t>10.1139/B02-053</t>
  </si>
  <si>
    <t>Plant Sciences</t>
  </si>
  <si>
    <t>562GQ</t>
  </si>
  <si>
    <t>WOS:000176189400010</t>
  </si>
  <si>
    <t>Grove, TJ; Sidell, BD</t>
  </si>
  <si>
    <t>Myoglobin deficiency in the hearts of phylogenetically diverse temperate-zone fish species</t>
  </si>
  <si>
    <t>ANTARCTIC FISHES; OXYGEN-CONSUMPTION; YELLOWFIN TUNA; PROTEINS; MUSCLE; ELECTROPHORESIS; METABOLISM; EXPRESSION; DIFFUSION; RNA</t>
  </si>
  <si>
    <t>Previous studies relying upon spectrophotometric methods reported low levels of myoglobin, an intracellular oxygen-binding protein, in oxidative muscles of some sluggish benthic fishes distributed throughout the North Atlantic Ocean. Using immunochemical techniques we show that myoglobin is not expressed in the heart ventricles of Cyclop terus lumpus (Cyclopteridae), Anarhichas lupus (Anarhichadidae), Macrozoarces americanus (Zoarcidae), and Lophius americanus (Lophiidae). Hemitripterus americanus (Hemitripteridae) expresses myoglobin at 2.3 +/- 0.2 mg.g wet mass(-1) (mean +/- SD). Myoglobin was not detected in oxidative skeletal muscle (pectoral adductor profundus) in either the white-hearted fishes examined or red-hearted H. americanus. Supporting these results, myoglobin messenger RNA was not detected in cardiac muscles of white-hearted fishes by means of either direct Northern blot analysis or by the reverse transcriptase - polymerase chain reaction followed by amplification of cDNA product. The partial cDNA sequence of H. americanus myoglobin was determined and shows 86.9% identity with a known teleost myoglobin cDNA from Chionodraco rastrospinosus. The 3' untranslated region of H. americanus is 255 nucleotides longer than the 3' untranslated region of C. rastrospinosus. Comparisons of the deduced amino acid sequence of H. americanus with those of other teleosts show 66.2% sequence identity with Cyprinus carpio, 74.6% with Scomber japonicus, and 80.3% with Thunnus albacares and C. rastrospinosus.</t>
  </si>
  <si>
    <t>Univ Maine, Sch Marine Sci, Orono, ME 04469 USA</t>
  </si>
  <si>
    <t>University of Maine System; University of Maine Orono</t>
  </si>
  <si>
    <t>10.1139/Z02-071</t>
  </si>
  <si>
    <t>566GU</t>
  </si>
  <si>
    <t>WOS:000176419200012</t>
  </si>
  <si>
    <t>Brown, JL</t>
  </si>
  <si>
    <t>Cold regions - Ice pavement improves antarctic runway</t>
  </si>
  <si>
    <t>CIVIL ENGINEERING</t>
  </si>
  <si>
    <t>ASCE-AMER SOC CIVIL ENGINEERS</t>
  </si>
  <si>
    <t>RESTON</t>
  </si>
  <si>
    <t>1801 ALEXANDER BELL DR, RESTON, VA 20191-4400 USA</t>
  </si>
  <si>
    <t>0885-7024</t>
  </si>
  <si>
    <t>CIVIL ENG</t>
  </si>
  <si>
    <t>Civil Eng.</t>
  </si>
  <si>
    <t>Engineering, Civil</t>
  </si>
  <si>
    <t>Engineering</t>
  </si>
  <si>
    <t>551TD</t>
  </si>
  <si>
    <t>WOS:000175577000012</t>
  </si>
  <si>
    <t>Oerlemans, J</t>
  </si>
  <si>
    <t>Global dynamics of the Antarctic ice sheet</t>
  </si>
  <si>
    <t>SURFACE MASS-BALANCE; MODEL; FLOW; STREAM</t>
  </si>
  <si>
    <t>The total mass budget of the Antarctic ice sheet is studied with a simple axi-symmetrical model. The ice-sheet has a parabolic profile resting on a bed that slopes linearly downwards from the centre of the ice sheet into the ocean. The mean ice velocity at the grounding line is assumed to be proportional to the water depth. The accumulation rate is a linear function of the distance to the centre. Setting the total mass budget to zero yields a quadratic equation for the steady-state ice-sheet radius R. Analysis of the equilibrium states sheds light on the sensitivity of the ice-sheet radius to changes in sea level (S) and precipitation with respect to the present state (P-rel). For model parameters obtained by matching the analytical model to the present state of the Antarctic ice sheet, the sensitivity values are dR/dS = -2400 and dR/ dP(rel) = 4000 m /%. The model can also be used to study transient behaviour of the ice sheet. The characteristic relaxation time (e-folding time scale) is about 3500 years. Forcing the model with a sea-level and accumulation history over the past few hundred thousands of years yields Antarctic ice-volume curves that are similar to those obtained by comprehensive numerical modelling. The current imbalance predicted by the model corresponds to a sea-level rise of 0.25 mm yr(-1).</t>
  </si>
  <si>
    <t>Univ Utrecht, Inst Marine &amp; Atmospher Res, NL-3584 CC Utrecht, Netherlands</t>
  </si>
  <si>
    <t>Oerlemans, J (corresponding author), Univ Utrecht, Inst Marine &amp; Atmospher Res, Princetonpl 5, NL-3584 CC Utrecht, Netherlands.</t>
  </si>
  <si>
    <t>j.oerlemans@phys.uu.nl</t>
  </si>
  <si>
    <t>Oerlemans, Johannes/G-3802-2011</t>
  </si>
  <si>
    <t>1432-0894</t>
  </si>
  <si>
    <t>10.1007/s00382-001-0210-z</t>
  </si>
  <si>
    <t>558AH</t>
  </si>
  <si>
    <t>WOS:000175941500006</t>
  </si>
  <si>
    <t>Wienecke, B; Robertson, G</t>
  </si>
  <si>
    <t>Foraging areas of king penguins from Macquarie Island in relation to a marine protected area</t>
  </si>
  <si>
    <t>ENVIRONMENTAL MANAGEMENT</t>
  </si>
  <si>
    <t>king penguins; satellite tracking; foraging area; marine protected area</t>
  </si>
  <si>
    <t>DIVING BEHAVIOR; STRATEGIES</t>
  </si>
  <si>
    <t>Twenty-three king penguins (Aptenodytes patagonicus) from Macquarie Island were tracked by satellite during the late incubation period in 1998-1999 to determine the overlap of the foraging zone of king penguins with an area to be declared a marine protected area (MPA) near the island, While all penguins left the colony in an easterly direction and traveled clockwise back to the island, three penguins foraged in the northern parts of the general foraging area and stayed north of 56 S. The remaining 20 penguins ventured south and most crossed 59 S before returning to the island. The total foraging area was estimated to be 156,000 km(2) with 36,500 km(2) being most important (where penguins spent &gt;150 hr in total). North-foraging penguins reached on average 331 +/- 24 km from the colony compared to 530 76 km for the south-foraging penguins. The latter traveled an average total distance of 1313 176 km, while the northern foragers averaged 963 166 km. Not only did the penguins spend the majority of their foraging time within the boundaries of the proposed MPA, they also foraged chiefly within the boundaries of a highly protected zone. Thus, the MPA is likely to encompass the foraging zone of king penguins, at least during incubation.</t>
  </si>
  <si>
    <t>Wienecke, B (corresponding author), Australian Antarctic Div, Channel Highway, Kingston, Tas 7050, Australia.</t>
  </si>
  <si>
    <t>0364-152X</t>
  </si>
  <si>
    <t>ENVIRON MANAGE</t>
  </si>
  <si>
    <t>Environ. Manage.</t>
  </si>
  <si>
    <t>10.1007/s00267-0015-1</t>
  </si>
  <si>
    <t>542KB</t>
  </si>
  <si>
    <t>WOS:000175041200007</t>
  </si>
  <si>
    <t>Mavromatis, K; Tsigos, I; Tzanodaskalaki, M; Kokkinidis, M; Bouriotis, V</t>
  </si>
  <si>
    <t>Exploring the role of a glycine cluster in cold adaptation of an alkaline phosphatase</t>
  </si>
  <si>
    <t>EUROPEAN JOURNAL OF BIOCHEMISTRY</t>
  </si>
  <si>
    <t>alkaline phosphatase; psychrophiles; cold adaptation; structural flexibility; glycine clusters</t>
  </si>
  <si>
    <t>PSYCHROPHILIC ENZYMES; CONFORMATIONAL FLEXIBILITY; CRYSTAL-STRUCTURES; LOCAL FLEXIBILITY; PROTEIN; STABILITY; DEHYDROGENASE; IMPROVEMENT; MUTAGENESIS; BACTERIUM</t>
  </si>
  <si>
    <t>In an effort to explore the role of glycine clusters on the cold adaptation of enzymes, we designed point mutations aiming to alter the distribution of glycine residues close to the active site of the psychrophilic alkaline phosphatase from the Antarctic strain TAB5. The mutagenesis targets were residues Gly261 and Gly262. The replacement of Gly262 by Ala resulted in an inactive enzyme. Substitution of Gly261 by Ala resulted to an enzyme with lower stability and increased energy of activation. The double mutant G261A/Y269A designed on the basis of side-chain packing criteria from a modelled structure of the enzyme resulted in restoration of the energy of activation to the levels of the native enzyme and in an increased stability compared to the mutant G261A. It seems therefore, that the Gly cluster in combination with its structural environment plays a significant role in the cold adaptation of the enzyme.</t>
  </si>
  <si>
    <t>Univ Crete, Dept Biol, Div Appl Biol &amp; Biotechnol, Iraklion 71110, Crete, Greece; Inst Mol Biol &amp; Biotechnol, Enzyme Technol Div, Iraklion, Crete, Greece; Inst Mol Biol &amp; Biotechnol, Crystallog Div, Iraklion, Crete, Greece</t>
  </si>
  <si>
    <t>University of Crete</t>
  </si>
  <si>
    <t>Bouriotis, V (corresponding author), Univ Crete, Dept Biol, Div Appl Biol &amp; Biotechnol, POB 1470, Iraklion 71110, Crete, Greece.</t>
  </si>
  <si>
    <t>BLACKWELL PUBLISHING LTD</t>
  </si>
  <si>
    <t>9600 GARSINGTON RD, OXFORD OX4 2DG, OXON, ENGLAND</t>
  </si>
  <si>
    <t>0014-2956</t>
  </si>
  <si>
    <t>EUR J BIOCHEM</t>
  </si>
  <si>
    <t>Eur. J. Biochem.</t>
  </si>
  <si>
    <t>10.1046/j.1432-1033.2002.02895.x</t>
  </si>
  <si>
    <t>Biochemistry &amp; Molecular Biology</t>
  </si>
  <si>
    <t>549HH</t>
  </si>
  <si>
    <t>WOS:000175438100010</t>
  </si>
  <si>
    <t>Goss, C; Middleton, D; Rodhouse, P</t>
  </si>
  <si>
    <t>Investigations of squid stocks using acoustic survey methods (vol 54, pg 111, 2001)</t>
  </si>
  <si>
    <t>British Antarctic Survey, Cambridge CB3 0ET, England</t>
  </si>
  <si>
    <t>Goss, C (corresponding author), British Antarctic Survey, High Cross,Madingley Rd, Cambridge CB3 0ET, England.</t>
  </si>
  <si>
    <t>Rodhouse, Paul/0000-0001-5399-967X</t>
  </si>
  <si>
    <t>PII S0165-7836(02)00030-9</t>
  </si>
  <si>
    <t>10.1016/S0165-7836(02)00030-9</t>
  </si>
  <si>
    <t>546YU</t>
  </si>
  <si>
    <t>WOS:000175305200011</t>
  </si>
  <si>
    <t>Betrán, E; Long, MY</t>
  </si>
  <si>
    <t>Expansion of genome coding regions by acquisition of new genes</t>
  </si>
  <si>
    <t>GENETICA</t>
  </si>
  <si>
    <t>new genes; G-value paradox; natural selection</t>
  </si>
  <si>
    <t>ANTARCTIC NOTOTHENIOID FISH; DEHYDROGENASE-RELATED GENES; TESTIS-SPECIFIC EXPRESSION; HUMAN Y-CHROMOSOME; ALCOHOL-DEHYDROGENASE; DROSOPHILA-MELANOGASTER; FUNCTIONAL RETROPOSON; MOLECULAR EVOLUTION; INTRONLESS GENE; PROCESSED PSEUDOGENES</t>
  </si>
  <si>
    <t>As it is the case for non-coding regions, the coding regions of organisms can be expanded or shrunk during evolutionary processes. However, the dynamics of coding regions are expected to be more correlated with functional complexity and diversity than are the dynamics of non-coding regions. Hence, it is interesting to investigate the increase of diversity in coding regions - the origin and evolution of new genes - because this provides a new component to the genetic variation underlying the diversity of living organisms. Here, we examine what is known about the mechanisms responsible for the increase in gene number. Every mechanism affects genomes in a distinct way and to a different extent and it appears that certain organisms favor particular mechanisms. The detail of some interesting gene acquisitions reveals the extreme dynamism of genomes. Finally, we discuss what is known about the fate of new genes and conclude that many of the acquisitions are likely to have been driven by natural selection; they increase functional complexity, diversity, and/or adaptation of species. Despite this, the correlation between complexity of life and gene number is low and closely related species (with very similar life histories) can have very different number of genes. We call this phenomenon the G-value paradox.</t>
  </si>
  <si>
    <t>Univ Chicago, Dept Ecol &amp; Evolut, Chicago, IL 60637 USA</t>
  </si>
  <si>
    <t>University of Chicago</t>
  </si>
  <si>
    <t>ebetran@midway.uchicago.edu; mlong@midway.uchicago.edu</t>
  </si>
  <si>
    <t>Betran, Esther/0000-0002-4742-7963</t>
  </si>
  <si>
    <t>0016-6707</t>
  </si>
  <si>
    <t>1573-6857</t>
  </si>
  <si>
    <t>Genetica</t>
  </si>
  <si>
    <t>10.1023/A:1016024131097</t>
  </si>
  <si>
    <t>Genetics &amp; Heredity</t>
  </si>
  <si>
    <t>566EK</t>
  </si>
  <si>
    <t>WOS:000176413900006</t>
  </si>
  <si>
    <t>Nichols, GJ; Cantrill, DJ</t>
  </si>
  <si>
    <t>Tectonic and climatic controls on a Mesozoic forearc basin succession, Alexander Island, Antarctica</t>
  </si>
  <si>
    <t>GEOLOGICAL MAGAZINE</t>
  </si>
  <si>
    <t>Cretaceous; fluvial; sedimentology; Antarctica; fore-arc basins</t>
  </si>
  <si>
    <t>LATE ALBIAN CONIFERALES; ARC BASIN; PENINSULA; HISTORY; PALEOECOLOGY; DEFORMATION; TAXONOMY; DEPOSITS; LEAVES</t>
  </si>
  <si>
    <t>The Cretaceous Fossil Bluff Group on Alexander Island, on the west side of the Antarctic Peninsula, contains a remarkably complete record of the evolution of a forearc basin. The latest (Aptian-Albian) stages in the basin history are recorded in a well-exposed succession at the southern end of the island, where a series of nunataks provide exposure of over a thousand metres of shallow marine and continental deposits. An abrupt facies shift from upper shoreface marine facies to braided fluvial deposits is interpreted as the record of regional uplift in the volcanic arc. This event coincides with the Palmer Land deformation event which may be related to a mid-Cretaceous mantle plume A gradual reduction in depositional gradient and a return to shallow marine conditions towards the top of the exposed section is interpreted as a consequence of erosion of the arc and subsidence within the basin. Palaeocurrent data and facies distributions indicate that the continental deposits formed a fan-shaped wedge at least 30 km in diameter in the southern part of the forearc basin. Fossil plants indicate that the palaeoclimate was warm and humid throughout the period of deposition. Mapping and facics analysis of the upper part of the Fossil Bluff Group in southern Alexander Island has resulted in a revision of the stratigraphic terminology for the area. The Triton Point Member, formerly part of the Neptune Glacier Formation, has been raised to formation status and two members (the Citadel Bastion Member and the Coal Nunatak Member) and a Bed (the Upper Coal Nunatak Sandstone Bed) are defined here within the formation.</t>
  </si>
  <si>
    <t>Univ London, Royal Holloway &amp; Bedford New Coll, Dept Geol, Egham TW20 0EX, Surrey, England; British Antarctic Survey, NERC, Cambridge CB3 0ET, England</t>
  </si>
  <si>
    <t>University of London; Royal Holloway University London; UK Research &amp; Innovation (UKRI); Natural Environment Research Council (NERC); NERC British Antarctic Survey</t>
  </si>
  <si>
    <t>Nichols, GJ (corresponding author), Univ London, Royal Holloway &amp; Bedford New Coll, Dept Geol, Egham TW20 0EX, Surrey, England.</t>
  </si>
  <si>
    <t>Cantrill, David/R-1415-2019</t>
  </si>
  <si>
    <t>Cantrill, David/0000-0002-1185-4015</t>
  </si>
  <si>
    <t>0016-7568</t>
  </si>
  <si>
    <t>GEOL MAG</t>
  </si>
  <si>
    <t>Geol. Mag.</t>
  </si>
  <si>
    <t>10.1017/S0016756802006465</t>
  </si>
  <si>
    <t>591ER</t>
  </si>
  <si>
    <t>WOS:000177867200005</t>
  </si>
  <si>
    <t>Kelly, MA; Denton, GH; Hall, BL</t>
  </si>
  <si>
    <t>Late Cenozoic paleoenvironment in southern Victoria Land, Antarctica, based on a polar glaciolacustrine deposit in western Victoria Valley</t>
  </si>
  <si>
    <t>East Antarctic Ice Sheet; geomorphology; glacial lakes; glacial sediments; lake-ice conveyer; radiocarbon dating</t>
  </si>
  <si>
    <t>ICE-SHEET; WRIGHT; LAKE</t>
  </si>
  <si>
    <t>Situated in the Transantarctic Mountains, western Victoria Valley is in a key position to test the late Cenozoic stability of the East Antarctic Ice Sheet, as well as that of the surrounding landscape surface. Victoria drift, which covers most of western Victoria Valley, represents a peculiar yet common type of deposit in the region. The sedimentology of Victoria drift is dominated by loose, sorted material, which preserves lacustrine algae, quite unlike tills in the Dry Valleys. Ridges characterize its morphology. Extraordinarily old ridges and mounds as well as fresh features and unweathered and perched boulders occur without apparent order. Accelerator Mass Spectrometry (AMS) radiocarbon dates of algae from within Victoria drift range from 11054 +/- 95 to &gt;45 000 C-14 yr B.P. and are not arrayed in chronological order across the drift sheet. Resting on a Miocene erosion surface, Victoria drift is the only widespread deposit in western Victoria Valley younger than ca. 14 Ma. One hypothesis is that the drift consists of moraines. The strength of this hypothesis is that it explains the arcuate form of many ridges. However, it does not explain the sedimentology, weathering characteristics, or radiocarbon dates. A second hypothesis is that Victoria drift is a unique polar glaciolacustrine sediment facies deposited by a lake-ice conveyer. The morphologic features, sedimentology, weathering characteristics, and radiocarbon dates of the drift are all consistent with deposition in a perennially ice-covered lake. This second hypothesis implies polar glacial conditions during deposition of the drift sheet in order to maintain a permanently ice-covered proglacial lake.</t>
  </si>
  <si>
    <t>Univ Maine, Inst Quaternary &amp; Climate Studies, Orono, ME 04469 USA; Univ Maine, Dept Geol Sci, Orono, ME 04469 USA</t>
  </si>
  <si>
    <t>University of Maine System; University of Maine Orono; University of Maine System; University of Maine Orono</t>
  </si>
  <si>
    <t>Univ Maine, Inst Quaternary &amp; Climate Studies, Orono, ME 04469 USA.</t>
  </si>
  <si>
    <t>kelly@geo.unibe.ch</t>
  </si>
  <si>
    <t>Kelly, Meredith/0000-0001-8163-3907</t>
  </si>
  <si>
    <t>GEOLOGICAL SOC AMER, INC</t>
  </si>
  <si>
    <t>1943-2674</t>
  </si>
  <si>
    <t>10.1130/0016-7606(2002)114&lt;0605:LCPISV&gt;2.0.CO;2</t>
  </si>
  <si>
    <t>551UE</t>
  </si>
  <si>
    <t>WOS:000175579500008</t>
  </si>
  <si>
    <t>Ishman, SE; Sperling, MR</t>
  </si>
  <si>
    <t>Benthic foraminiferal record of Holocene deep-water evolution in the Palmer Deep, western Antarctic Peninsula</t>
  </si>
  <si>
    <t>Antarctica; benthic; bottom water; foraminifera; Holocene</t>
  </si>
  <si>
    <t>CONTINENTAL-SHELF; GLACIAL HISTORY; SOUTHERN-OCEAN; ATLANTIC-OCEAN; CLIMATE-CHANGE; ICE; SEA; REGION; CIRCULATION; ECOLOGY</t>
  </si>
  <si>
    <t>Benthic foraminiferal data from Ocean Drilling Program Site 1098 indicate significant changes in deep-water conditions of the Palmer Deep, western Antarctic Peninsula margin, throughout the Holocene (13 ka to present). The earliest Holocene represents a period of transition from the Last Glacial Maximum (LGM). Cold bottom waters, similar to saline shelf water (SSW), dominated the middle Holocene. The late Holocene in the Palmer Deep has been characterized by alternating dominance of circumpolar deep water (CDW) and saline shelf water. These changes have global oceanographic and climatic implications. We suggest that the middle Holocene bottom-water record, in the absence of circumpolar deep water on the western Antarctic Peninsula shelf, indicates high saline shelf water production and/or weakened circumpolar deep water production during the middle Holocene climatic optimum. The late Holocene benthic foraminiferal record indicates rapidly fluctuating sea-ice conditions and may indicate a teleconnection between the South Pacific and Southern Ocean, thus having implications related to the Southern Oscillation Index.</t>
  </si>
  <si>
    <t>So Illinois Univ, Dept Geol, Carbondale, IL 62901 USA; Inst Museum Geol &amp; Paleontol, Tubingen, Germany</t>
  </si>
  <si>
    <t>Southern Illinois University System; Southern Illinois University; Eberhard Karls University of Tubingen</t>
  </si>
  <si>
    <t>Ishman, SE (corresponding author), So Illinois Univ, Dept Geol, Carbondale, IL 62901 USA.</t>
  </si>
  <si>
    <t>10.1130/0091-7613(2002)030&lt;0435:BFROHD&gt;2.0.CO;2</t>
  </si>
  <si>
    <t>551UC</t>
  </si>
  <si>
    <t>WOS:000175579300012</t>
  </si>
  <si>
    <t>Kidiyarova, VG; Gabis, IP; Troshichev, OA</t>
  </si>
  <si>
    <t>Relation between the total ozone variability and the solar ultraviolet radiation intensity in the winter period</t>
  </si>
  <si>
    <t>GEOMAGNETISM AND AERONOMY</t>
  </si>
  <si>
    <t>STRATOSPHERIC OZONE; ATMOSPHERE; INDEX; FLUX</t>
  </si>
  <si>
    <t>The short-period (tau less than or equal to 27 days) total ozone variations in Russia at latitudes higher than 50degrees N as a function of the solar ultraviolet radiation intensity have been analyzed for the winter periods of 1978 through 1993. The MgII index, whose variations are related to solar activity and characterize solar irradiance at wavelengths of lambda less than or equal to 280 nm, has been used to determine solar ultraviolet variations. The relation between the total ozone behavior and the MgII variations has been found by the method of superposed epochs: the total ozone response to the reduction of solar ultraviolet irradiance is the opposite of the effects observed at the increase of irradiance. In this case, the total ozone response to solar ultraviolet disturbances shows a clearly defined dependence on longitude. It is assumed that the established regularities indicate that the solar ultraviolet irradiance affects the processes responsible for the thermodynamic regime of the stratosphere, which controls the total ozone spatial distribution at extratropical latitudes.</t>
  </si>
  <si>
    <t>Cent Aerol Observ, Dolgoprudnyi 171700, Moscow Oblast, Russia; Russian Acad Sci, Arctic &amp; Antarctic Res Inst, St Petersburg 199397, Russia</t>
  </si>
  <si>
    <t>Arctic &amp; Antarctic Research Institute; Russian Academy of Sciences</t>
  </si>
  <si>
    <t>Kidiyarova, VG (corresponding author), Cent Aerol Observ, Pervomaiskaya Ul 3, Dolgoprudnyi 171700, Moscow Oblast, Russia.</t>
  </si>
  <si>
    <t>0016-7932</t>
  </si>
  <si>
    <t>GEOMAGN AERONOMY+</t>
  </si>
  <si>
    <t>Geomagn. Aeron.</t>
  </si>
  <si>
    <t>569ML</t>
  </si>
  <si>
    <t>WOS:000176606100020</t>
  </si>
  <si>
    <t>Aydin, M; De Bruyn, WJ; Saltzman, ES</t>
  </si>
  <si>
    <t>Preindustrial atmospheric carbonyl sulfide (OCS) from an Antarctic ice core</t>
  </si>
  <si>
    <t>DIMETHYL SULFIDE; GLOBAL SOURCES; AEROSOLS; MODEL; MASS; STRATOSPHERE; DISULFIDE; OXIDATION; PRODUCT; GASES</t>
  </si>
  <si>
    <t>[1] The concentration of carbonyl sulfide (OCS) has been determined in several preindustrial air samples extracted from a shallow ice core from Siple Dome, West Antarctica. The extraction of the air was carried out by shredding the core under vacuum, followed by analysis by gas chromatography with mass spectrometric detection. 11 ice core samples were analyzed, ranging in depth from 82.3 to 90.7 m. The ages assigned to OCS in the ice core samples range from 1616 to 1694 AD. The observed OCS mixing ratios range from 322.6 pptv to 442.3 pptv with a mean of 372.8 +/- 37.2 pptv. These levels are significantly lower than the present day atmospheric mixing ratio of 500 pptv and suggest that the anthropogenic sources comprise approximately 25% of the present day OCS budget.</t>
  </si>
  <si>
    <t>Univ Calif Irvine, Dept Earth Syst Sci, Irvine, CA 92697 USA</t>
  </si>
  <si>
    <t>University of California System; University of California Irvine</t>
  </si>
  <si>
    <t>Univ Calif Irvine, Dept Earth Syst Sci, Irvine, CA 92697 USA.</t>
  </si>
  <si>
    <t>maydin@uci.edu</t>
  </si>
  <si>
    <t>10.1029/2002GL014796</t>
  </si>
  <si>
    <t>609DH</t>
  </si>
  <si>
    <t>WOS:000178888000004</t>
  </si>
  <si>
    <t>O'Connor, JM; Stoffers, P; Wijbrans, JR</t>
  </si>
  <si>
    <t>Pulsing of a focused mantle plume: Evidence from the distribution of Foundation Chain hotspot volcanism</t>
  </si>
  <si>
    <t>PACIFIC-ANTARCTIC RIDGE; INTRAPLATE</t>
  </si>
  <si>
    <t>[1] Using the rare case of a hotspot chain crossing a fossil microplate, we reveal fundamental mantle plume characteristics by comparing hotspot volcanism in a sequence of contrasting tectonic settings. Key new 40Ar/39Ar ages show that the Foundation mantle plume pulses hot masses from depth with an apparent periodicity of one Myr. Synchronous magmatism over large distances indicates that masses associated with individual pulses are focused initially into similarly sized zones under the Pacific plate. Since the plume, spreading on impact with the lithosphere, influences a very wide area, apparently unconnected hotspot volcanism can be produced simultaneously across wide swaths, often crosscutting seamount chains. Our model might explain in part much of the midplate volcanism scattered across the Pacific seafloor indicating the episodic addition of significantly greater masses of plume material into the upper mantle than suggested by the narrowness of major seamount chains.</t>
  </si>
  <si>
    <t>Univ Kiel, GEOMAR Res Ctr Marine Geosci, D-24148 Kiel, Germany; Univ Kiel, Inst Geosci, D-24148 Kiel, Germany; Vrije Univ Amsterdam, Dept Isotope Geochem, NL-1081 HV Amsterdam, Netherlands</t>
  </si>
  <si>
    <t>Helmholtz Association; GEOMAR Helmholtz Center for Ocean Research Kiel; University of Kiel; University of Kiel; Vrije Universiteit Amsterdam</t>
  </si>
  <si>
    <t>Univ Kiel, GEOMAR Res Ctr Marine Geosci, Wischhofstr Str 1-3, D-24148 Kiel, Germany.</t>
  </si>
  <si>
    <t>joconnor@geomar.de</t>
  </si>
  <si>
    <t>Wijbrans, J.R./M-6067-2019; Wijbrans, Jan/Q-1914-2016</t>
  </si>
  <si>
    <t>Wijbrans, Jan/0000-0002-8091-1239</t>
  </si>
  <si>
    <t>10.1029/2002GL014681</t>
  </si>
  <si>
    <t>WOS:000178888000013</t>
  </si>
  <si>
    <t>Stephenson, JAE; Walker, ADM</t>
  </si>
  <si>
    <t>HF radar observations of Pc5 ULF pulsations driven by the solar wind</t>
  </si>
  <si>
    <t>FIELD LINE RESONANCES; MAGNETOSPHERE; WAVES; MAGNETOMETER; BOUNDARY; MODES</t>
  </si>
  <si>
    <t>[1] We present HF radar observations of Pc5 field line resonances in the post-midnight Antarctic ionosphere on April 28/29 1997. Simultaneous oscillations were seen in the solar wind parameters observed by WIND. The spectra of both sets of data show peaks near 1.3 mHz, 1.9 mHz, 2.7 mHz and 3.3 mHz. The data were bandpass filtered and a complex demodulation technique applied to calculate the instantaneous energy flux in the solar wind in each band and hence the power incident on the front of the magnetosphere 70 minutes later. The magnitude of the instantaneous power deposited in the ionosphere at each frequency through Joule heating followed this closely and was an order of magnitude smaller. We conclude that, at least on this occasion, the field line resonances could have been directly driven by the solar wind oscillations.</t>
  </si>
  <si>
    <t>Univ Natal, Sch Pure &amp; Appl Phys, ZA-4041 Durban, Kwazulu Natal, South Africa</t>
  </si>
  <si>
    <t>University of Kwazulu Natal</t>
  </si>
  <si>
    <t>Stephenson, JAE (corresponding author), Univ Natal, Sch Pure &amp; Appl Phys, ZA-4041 Durban, Kwazulu Natal, South Africa.</t>
  </si>
  <si>
    <t>stephens@nu.ac.za; walker@nu.ac.za</t>
  </si>
  <si>
    <t>Walker, David/K-6906-2016; Stephenson, Judy/G-6066-2017</t>
  </si>
  <si>
    <t>Walker, David/0000-0002-4581-752X; Stephenson, Judy/0000-0002-3840-7979</t>
  </si>
  <si>
    <t>10.1029/2001GL014291</t>
  </si>
  <si>
    <t>WOS:000178888000065</t>
  </si>
  <si>
    <t>Siegert, MJ; Fisher, DA</t>
  </si>
  <si>
    <t>A terrestrial analogy for Martian accublation zones revealed by airborne ice-penetrating radar from the east Antarctic ice sheet</t>
  </si>
  <si>
    <t>ICARUS</t>
  </si>
  <si>
    <t>FLOW</t>
  </si>
  <si>
    <t>The surface of the northern martian ice cap is known to contain alternating white-dark scarp-trough features, and one method of their formation involves spatially coherent patterns of ice accumulation and ablation via sublimation. In this so-called accublation model, the internal ice sheet layers submerge into the ice sheet across the accumulation zone and emerge to the ice surface across the ablation region. Here we report on an Antarctic analogy to the martian accublation model, which demonstrates that surface mass balance conditions actually affect internal ice-sheet structure as predicted by D. A. Fisher (2000, Icarus 144, 289-294). This analogy shows how it is possible for ancient ice to become exposed at the surface of an ice sheet, allowing the paleoclimate record stored within the ice to be measured without the need for deep ice coring. (C) 2002 Elsevier Science (USA).</t>
  </si>
  <si>
    <t>Univ Bristol, Bristol Glaciol Ctr, Sch Geog Sci, Bristol BS8 1SS, Avon, England; Geol Survey Canada, Glaciol Sect, Terrain Sci Div, Ottawa, ON K1A 0E8, Canada</t>
  </si>
  <si>
    <t>University of Bristol; Natural Resources Canada; Lands &amp; Minerals Sector - Natural Resources Canada; Geological Survey of Canada</t>
  </si>
  <si>
    <t>Siegert, MJ (corresponding author), Univ Bristol, Bristol Glaciol Ctr, Sch Geog Sci, Bristol BS8 1SS, Avon, England.</t>
  </si>
  <si>
    <t>Siegert, Martin/M-9939-2019; Siegert, Martin J/A-3826-2008</t>
  </si>
  <si>
    <t>Siegert, Martin/0000-0002-0090-4806; Siegert, Martin J/0000-0002-0090-4806</t>
  </si>
  <si>
    <t>0019-1035</t>
  </si>
  <si>
    <t>Icarus</t>
  </si>
  <si>
    <t>10.1006/icar.2001.6803</t>
  </si>
  <si>
    <t>557VL</t>
  </si>
  <si>
    <t>WOS:000175929000023</t>
  </si>
  <si>
    <t>Reddy, GSN; Prakash, JSS; Matsumoto, GI; Stackebrandt, E; Shivaji, S</t>
  </si>
  <si>
    <t>Arthrobacter roseus sp nov., a psychrophilic bacterium isolated from an Antarctic cyanobacterial mat sample</t>
  </si>
  <si>
    <t>INTERNATIONAL JOURNAL OF SYSTEMATIC AND EVOLUTIONARY MICROBIOLOGY</t>
  </si>
  <si>
    <t>Arthrobacter; psychrophile; Antarctica; cyanobacterial mat</t>
  </si>
  <si>
    <t>SPHINGOBACTERIUM-ANTARCTICUS; PSYCHROTROPHIC BACTERIUM; SCHIRMACHER OASIS; 16S RDNA; MICROCOCCUS; RECLASSIFICATION; PEPTIDOGLYCAN; DIVERSITY; ORGANISM; SOILS</t>
  </si>
  <si>
    <t>Strain CMS 90r(T), a red-pigmented bacterium, was isolated from a cyanobacterial mat sample from a pond located in McMurdo, Antarctica. Based on its chemotaxonomic and phylogenetic properties, strain CMS 90r(T) was identified as a member of group I of Arthrobacter. It shared 16S rDNA similarity of 98% with Arthrobacter oxydans ATCC 14358(T) and Arthrobacter polychromogenes ATCC 15216(T), while DNA-DNA similarities determined for these three organisms were less than 70%. It also differed from all 17 reported Arthrobacter species with A3alpha-variant peptidoglycan in that it possessed a unique peptidoglycan (Lys-Gly-Ala(3)) and contained galactose, glucose, ribose and rhamnose as cell-wall sugars. These data and the presence of diagnostic phenotypic traits support the description of CMS 90r(T) as a novel species of Arthrobacter, for which the name Arthrobacter roseus sp. nov. is proposed. The type strain is strain CMS 90r(T) (= MTCC 3712(T) - DSM 14508(T)).</t>
  </si>
  <si>
    <t>Ctr Cellular &amp; Mol Biol, Hyderabad 500007, Andhra Pradesh, India; Otsuma Womens Univ, Dept Environm &amp; Informat Sci, Tokyo 206, Japan; Deutsch Sammlung Mikroorganismen &amp; Zellkulturen, D-38124 Braunschweig, Germany</t>
  </si>
  <si>
    <t>Council of Scientific &amp; Industrial Research (CSIR) - India; CSIR - Centre for Cellular &amp; Molecular Biology (CCMB); Leibniz Institut fur Deutsche Sammlung von Mikroorganismen und Zellkulturen (DSMZ)</t>
  </si>
  <si>
    <t>Shivaji, S (corresponding author), Ctr Cellular &amp; Mol Biol, Uppal Rd, Hyderabad 500007, Andhra Pradesh, India.</t>
  </si>
  <si>
    <t>shivas@ccmb.ap.nic.in</t>
  </si>
  <si>
    <t>Stackebrandt, Erko/0000-0002-6130-760X; shivaji, sisinthy/0000-0003-0376-4658</t>
  </si>
  <si>
    <t>MICROBIOLOGY SOC</t>
  </si>
  <si>
    <t>CHARLES DARWIN HOUSE, 12 ROGER ST, LONDON WC1N 2JU, ERKS, ENGLAND</t>
  </si>
  <si>
    <t>1466-5026</t>
  </si>
  <si>
    <t>1466-5034</t>
  </si>
  <si>
    <t>INT J SYST EVOL MICR</t>
  </si>
  <si>
    <t>Int. J. Syst. Evol. Microbiol.</t>
  </si>
  <si>
    <t>10.1099/ijs.0.02131-0</t>
  </si>
  <si>
    <t>555ZZ</t>
  </si>
  <si>
    <t>WOS:000175824100046</t>
  </si>
  <si>
    <t>Suppression of human anti-inflammatory plasma cytokines IL-10 and IL-1RA with elevation of proinflammatory cytokine IFN-γ during the isolation of the Antarctic winter</t>
  </si>
  <si>
    <t>JOURNAL OF ALLERGY AND CLINICAL IMMUNOLOGY</t>
  </si>
  <si>
    <t>Antarctic winter-over; model of isolation; effect of space flight; proinflammatory vs anti-inflammatory cytokine balance; latent virus infection; T-cell activation</t>
  </si>
  <si>
    <t>CELL-MEDIATED-IMMUNITY; SPACEFLIGHT; SLEEP; MODEL</t>
  </si>
  <si>
    <t>Cellular immune function has been shown to be decreased and latent virus shedding to be increased in human beings isolated during the Antarctic winter, a model used for assessing some effects of space flight. However, the balance of proinflammatory (IFN-gamma) and anti-inflammatory (IL-10 and IL-1RA) cytokines has not previously been evaluated. We therefore sought to determine whether isolation during the Antarctic winter would alter the proinflammatory and anti-inflammatory cytokine balance. Cytokine levels were measured with ELISA in monthly plasma samples from January through September 1999 in 21 study subjects in the Antarctic and 7 control subjects on Macquarie Island. There was a significant time-dependent increase in plasma IFN-gamma (P = .039) as well as decreases in IL-10 (P = .042) and IL-1RA (P = .053) in the study subjects compared with the control subjects. The study subjects also had significantly increased plasma IFN-gamma levels (P less than or equal to .045) but decreased IL-10 and IL-1RA levels (P less than or equal to .036) at individual time points of isolation. Isolation of human beings in the Antarctic appears to shift the plasma cytokine balance toward a proinflammatory profile. These observations are consistent with T-cell activation that might be due to activation of latent viruses, and they could hold importance for determining the risks of space flight.</t>
  </si>
  <si>
    <t>Baylor Coll Med, Houston, TX 77030 USA; Univ Texas, MD Anderson Canc Ctr, Houston, TX 77030 USA; Australian Antarctic Div, Kingston, Tas, Australia</t>
  </si>
  <si>
    <t>Shearer, WT (corresponding author), Texas Childrens Hosp, 6621 Fannin St MC 1-3291, Houston, TX 77030 USA.</t>
  </si>
  <si>
    <t>Shearer, William/0000-0002-2483-2130</t>
  </si>
  <si>
    <t>MOSBY, INC</t>
  </si>
  <si>
    <t>ST LOUIS</t>
  </si>
  <si>
    <t>11830 WESTLINE INDUSTRIAL DR, ST LOUIS, MO 63146-3318 USA</t>
  </si>
  <si>
    <t>0091-6749</t>
  </si>
  <si>
    <t>J ALLERGY CLIN IMMUN</t>
  </si>
  <si>
    <t>J. Allergy Clin. Immunol.</t>
  </si>
  <si>
    <t>10.1067/mai.2002.123873</t>
  </si>
  <si>
    <t>Allergy; Immunology</t>
  </si>
  <si>
    <t>553QW</t>
  </si>
  <si>
    <t>WOS:000175687800017</t>
  </si>
  <si>
    <t>Pancheva, D; Mitchell, NJ; Hagan, ME; Manson, AH; Meek, CE; Luo, Y; Jacobi, C; Kürschner, D; Clark, RR; Hocking, WK; MacDougall, J; Jones, GOL; Vincent, RA; Reid, IM; Singer, W; Igarashi, K; Fraser, GI; Nakamura, T; Tsuda, T; Portnyagin, Y; Merzlyakov, E; Fahrutdinova, AN; Stepanov, AM; Poole, LMG; Malinga, SB; Kashcheyev, BL; Oleynikov, AN; Riggin, DM</t>
  </si>
  <si>
    <t>Global-scale tidal structure in the mesosphere and lower thermosphere during the PSMOS campaign of June-August 1999 and comparisons with the global-scale wave model</t>
  </si>
  <si>
    <t>JOURNAL OF ATMOSPHERIC AND SOLAR-TERRESTRIAL PHYSICS</t>
  </si>
  <si>
    <t>Workshop on Planetary Scale Mesopause Observing System (PSMOS 2000)</t>
  </si>
  <si>
    <t>MAY 23-26, 2000</t>
  </si>
  <si>
    <t>UNIV TORONTO, SANDFOR FLEMING BLD, TORONTO, CANADA</t>
  </si>
  <si>
    <t>UNIV TORONTO, SANDFOR FLEMING BLD</t>
  </si>
  <si>
    <t>MLT dynamics; wind and tidal observations; models</t>
  </si>
  <si>
    <t>MEDIUM FREQUENCY RADARS; VHF METEOR RADAR; WIND MEASUREMENTS; SASKATOON 52-DEGREES-N; MIDDLE ATMOSPHERE; SEMIDIURNAL TIDE; PLANETARY-WAVES; GRAVITY-WAVES; MEAN WINDS; TROMSO 70-DEGREES-N</t>
  </si>
  <si>
    <t>Observations of mean winds and semidiurnal and diurnal tides in the mesosphere/lower-thermosphere (MLT) region were made during the 3-month Planetary-Scale Mesopause Observing System Summer 1999 campaign. Data from 22 ground-based radars (and from two other instruments with measurements for the same period but in 1998) allow us to investigate the ability of the GSWM-00 to simulate the solar tides in the mesopause region (90-95 km). Here we have found that the GSWM-00 provides an increasingly reasonable estimate of most of the tidal characteristics in the MLT region. However, the representation of the 24 h tide appears superior to that of the 12 h tide. Some of these discrepancies are studied in detail. In particular, the observations reveal significant 12 h tidal amplitudes at high latitudes in the Northern Hemisphere summer. There is evidence for relation between the longitudinal variability of the mean zonal wind and the tidal characteristics seen from the radar wind measurements in the summer middle latitudes and a quasi-stationary planetary wave with zonal wave number one. (C) 2002 Elsevier Science Ltd. All rights reserved.</t>
  </si>
  <si>
    <t>Univ Coll Wales, Dept Phys, Aberystwyth SY23 3BZ, Ceredigion, Wales; NCAR, High Altitude Observ, Boulder, CO USA; Univ Saskatchewan, Inst Space &amp; Atmospher Studies, Saskatoon, SK, Canada; Univ Leipzig, Inst Meteorol, Leipzig, Germany; Univ Leipzig, Inst Geophys &amp; Geol, Collm Observ, Leipzig, Germany; Univ New Hampshire, Durham, NH 03824 USA; Univ Western Ontario, London, ON, Canada; British Antarctic Survey, NERC, Cambridge CB3 0ET, England; Univ Adelaide, Adelaide, SA, Australia; Albinos Inst Atmospher Phys, Kuhlungsborn, Germany; Commun Res Labs, Koganei, Tokyo, Japan; Univ Canterbury, Christchurch 1, New Zealand; Radio Sci Ctr Space &amp; Atmosphere, Kyoto, Japan; Inst Exptl Meteorol, Obninsk, Russia; Kazan VI Lenin State Univ, Kazan 420008, Russia; Rhodes Univ, ZA-6140 Grahamstown, South Africa; Kharkov State Tech Univ Radioelect, Kharkov, Ukraine; Colorado Res Associates, Boulder, CO USA</t>
  </si>
  <si>
    <t>Aberystwyth University; National Center Atmospheric Research (NCAR) - USA; University of Saskatchewan; Leipzig University; Leipzig University; University System Of New Hampshire; University of New Hampshire; Western University (University of Western Ontario); UK Research &amp; Innovation (UKRI); Natural Environment Research Council (NERC); NERC British Antarctic Survey; University of Adelaide; National Institute of Information &amp; Communications Technology (NICT) - Japan; University of Canterbury; Kazan Federal University; Rhodes University; Ministry of Education &amp; Science of Ukraine; Kharkiv National University of Radio Electronics</t>
  </si>
  <si>
    <t>Univ Coll Wales, Dept Phys, Aberystwyth SY23 3BZ, Ceredigion, Wales.</t>
  </si>
  <si>
    <t>ddp@aber.ac.uk</t>
  </si>
  <si>
    <t>Vincent, Robert A/E-5450-2013; Reid, Iain/B-5681-2012; Merzlyakov, E G/U-5443-2017; Stepanov, Mikhail/AAB-2082-2021; Oleynikov, Anatoly/B-5793-2019; Hagan, Maura/C-7200-2008</t>
  </si>
  <si>
    <t>Vincent, Robert A/0000-0001-6559-6544; Reid, Iain/0000-0003-2340-9047; Merzlyakov, E G/0000-0001-8344-5491; Stepanov, Mikhail/0000-0002-1596-6428; Luo, Yi/0000-0001-8740-1912; Oleynikov, Anatoly/0000-0002-4458-8833; Hagan, Maura/0000-0002-8866-7429; Nakamura, Takuji/0000-0002-3876-2946</t>
  </si>
  <si>
    <t>1364-6826</t>
  </si>
  <si>
    <t>1879-1824</t>
  </si>
  <si>
    <t>J ATMOS SOL-TERR PHY</t>
  </si>
  <si>
    <t>J. Atmos. Sol.-Terr. Phys.</t>
  </si>
  <si>
    <t>MAY-JUL</t>
  </si>
  <si>
    <t>8-11</t>
  </si>
  <si>
    <t>PII S1364-6826(02)00054-8</t>
  </si>
  <si>
    <t>10.1016/S1364-6826(02)00054-8</t>
  </si>
  <si>
    <t>Geochemistry &amp; Geophysics; Meteorology &amp; Atmospheric Sciences</t>
  </si>
  <si>
    <t>571ZJ</t>
  </si>
  <si>
    <t>WOS:000176748800014</t>
  </si>
  <si>
    <t>Murphy, DJ</t>
  </si>
  <si>
    <t>Variations in the phase of the semidiurnal tide over Davis, Antarctica</t>
  </si>
  <si>
    <t>semidiurnal tide; mesosphere-lower thermosphere; Antarctica</t>
  </si>
  <si>
    <t>12-HOUR OSCILLATION; LOWER THERMOSPHERE; SOUTH-POLE; MESOSPHERE; RADAR; WAVE</t>
  </si>
  <si>
    <t>The amplitude and time of maximum of the semidiurnal tide in the mesosphere and lower thermosphere above Davis varies through the summer months. In particular, the time of maximum can oscillate around a fixed value or, at some heights, shift by a whole cycle of local time. Recent studies of the semi-diurnal tide at the South Pole have suggested that an s = 1 mode is common at high-southern latitudes. At mid-latitudes, the s = 2 mode is thought to dominate suggesting that a region where these modes overlap is a possibility. Although it is not possible to discern which of these modes are present using single station data, the concept that more than one 12-h wave is present allows a new interpretation of the Davis semi-diurnal amplitudes and times of maximum. In this study, wind data obtained at Davis, Antarctica, during the summer of 1996/97 are used to show that the complex variations in time of maximum and amplitude can be explained by a sum of two waves. The simplest of models combines an invariant and a varying 12-h wave and yields characteristics for each component that are less complex than the original observation. There is also potential for changes to the interpretation of time of maximum vs. height profiles. (C) 2002 Elsevier Science Ltd. All rights reserved.</t>
  </si>
  <si>
    <t>Murphy, DJ (corresponding author), Australian Antarctic Div, Channel Highway, Kingston, Tas 7050, Australia.</t>
  </si>
  <si>
    <t>PII S1364-6826(02)00058-5</t>
  </si>
  <si>
    <t>10.1016/S1364-6826(02)00058-5</t>
  </si>
  <si>
    <t>WOS:000176748800017</t>
  </si>
  <si>
    <t>Manson, AH; Meek, CE; Stegman, J; Espy, PJ; Roble, RG; Hall, CM; Hoffmann, P; Jacobi, C</t>
  </si>
  <si>
    <t>Springtime transitions in mesopause airglow and dynamics: photometer and MF radar observations in the Scandinavian and Canadian sectors</t>
  </si>
  <si>
    <t>mesopause springtime transitions; photometers/radars</t>
  </si>
  <si>
    <t>GENERAL-CIRCULATION MODEL; SASKATOON 52-DEGREES-N; LOWER THERMOSPHERE; MIDDLE ATMOSPHERE; UPPER MESOSPHERE; CENTRAL-EUROPE; GRAVITY-WAVES; WIND-FIELD; TIDES; ELECTRODYNAMICS</t>
  </si>
  <si>
    <t>Observations from 2 optical ground stations and 3 MF radars at high and mid-latitudes have been combined to describe springtime transitions in atomic oxygen and the mesopause wind fields and waves for eight years (1991-1998). The typical signature in the Stockholm (60degreesN, 20degreesE) OI 558 nm 'green-line' emission involves a rapid (circa) 2-days rise in the nighttime value by factors of 2 or so, with a subsequent decrease by factors of 3-10. There is considerable inter-annual variability in these green-line emissions, and also the hydroxyl airglow (intensities and temperatures) at Bear Lake Observatory (Utah, 42degreesN, 115degreesW), but the 6-8 year means do show a characteristic airglow springtime transition (AST) near the end of March. MF radars from Tromso (70degreesN, 19degreesE), Juliusruh (55 N, 13 E) and Saskatoon (52degreesN, 107degreesW) demonstrate springtime reversals in the mean (daily) zonal winds at 85-95 km, both annually and in B year means, at times near the airglow transitions. The tongue of easterlies (near March 30) is a long-established feature of mesopause dynamics, and clear indications of associated changes in tides and gravity wave fluxes are also presented. The TIME-GCM is also used to investigate the characteristics of the airglow and winds during the interval associated with the AST events. Useful similarities with the observed variations are demonstrated. (C) 2002 Elsevier Science Ltd. All rights reserved.</t>
  </si>
  <si>
    <t>Univ Saskatchewan, Inst Space &amp; Atmospher Studies, Saskatoon, SK S7N 5E2, Canada; Stockholm Univ, S-10691 Stockholm, Sweden; British Antarctic Survey, Cambridge, England; NCAR, Boulder, CO USA; Univ Tromso, Auroral Observ, Tromso, Norway; Leibniz Inst, Inst Atmospher Phys, D-18225 Kuhlungsborn, Germany; Univ Leipzig, Inst Meteorol, D-04103 Leipzig, Germany</t>
  </si>
  <si>
    <t>University of Saskatchewan; Stockholm University; UK Research &amp; Innovation (UKRI); Natural Environment Research Council (NERC); NERC British Antarctic Survey; National Center Atmospheric Research (NCAR) - USA; UiT The Arctic University of Tromso; Leibniz Institut fur Atmospharenphysik e.V. an der Universitat Rostock (IAP); Leipzig University</t>
  </si>
  <si>
    <t>Manson, AH (corresponding author), Univ Saskatchewan, Inst Space &amp; Atmospher Studies, 116 Sci Pl, Saskatoon, SK S7N 5E2, Canada.</t>
  </si>
  <si>
    <t>PII S1364-6826(02)00064-0</t>
  </si>
  <si>
    <t>10.1016/S1364-6826(02)00064-0</t>
  </si>
  <si>
    <t>WOS:000176748800023</t>
  </si>
  <si>
    <t>Burns, GB; French, WJR; Greet, PA; Phillips, FA; Williams, PFB; Finlayson, K; Klich, G</t>
  </si>
  <si>
    <t>Seasonal variations and inter-year trends in 7 years of hydroxyl airglow rotational temperatures at Davis station (69°S, 78°E), Antarctica</t>
  </si>
  <si>
    <t>upper mesosphere temperature trends; hydroxyl airglow; solar cycle influence</t>
  </si>
  <si>
    <t>MESOPAUSE REGION; TRANSITION-PROBABILITIES; NOCTILUCENT CLOUDS; THERMAL STRUCTURE; MESOSPHERE; MIDDLE; ATMOSPHERE; PROFILES; EUROPE; MIDLATITUDE</t>
  </si>
  <si>
    <t>Seasonal variation of hydroxyl rotational-temperatures above Davis, Antarctica (68.6degreesS, 73.0degreesE) is determined from 1148 nightly means collected over 7 years (1990 and 1995-2000). Measurements are limited by sunlight at this latitude to between day-of-year (DOY) 49 and 296. Sharp temperature transitions, particularly in autumn (1.2 K d(-1)), bracket an extended winter maximum with a slow temperature decrease (-0.03 K d(-1) from DOY 85 to 260). Seasonal variability and absolute magnitudes (206+/-4 K for a 1 July average across the years measured) are very similar to measurements at a comparable northern latitude (Lubken and von Zhan, 1991). A solar cycle association of 0.06 K (sfu)(-1) (10.7 cm solar flux unit = 10(-22) W m(-2) Hz(-1)), implying a 7 K variation over a 120 sfu range solar cycle, fits the measured winter temperatures. (C) 2002 Elsevier Science Ltd. All rights reserved.</t>
  </si>
  <si>
    <t>Australian Antarctic Div, Kingston, Tas 7050, Australia; Univ Tasmania, Inst Antarctic &amp; So Ocean Studies, Hobart, Tas 7000, Australia</t>
  </si>
  <si>
    <t>Burns, GB (corresponding author), Australian Antarctic Div, Channel Highway, Kingston, Tas 7050, Australia.</t>
  </si>
  <si>
    <t>French, John/0000-0001-9305-6190</t>
  </si>
  <si>
    <t>PII S1364-6826(02)00066-4</t>
  </si>
  <si>
    <t>10.1016/S1364-6826(02)00066-4</t>
  </si>
  <si>
    <t>WOS:000176748800025</t>
  </si>
  <si>
    <t>Shepherd, MG; Espy, PJ; She, CY; Hocking, W; Keckhut, P; Gavrilyeva, G; Shepherd, GG; Naujokat, B</t>
  </si>
  <si>
    <t>Springtime transition in upper mesospheric temperature in the northern hemisphere</t>
  </si>
  <si>
    <t>airglow; upper mesosphere</t>
  </si>
  <si>
    <t>ATMOSPHERE RESEARCH SATELLITE; MESOPAUSE REGION; THERMAL STRUCTURE; UARS OBSERVATIONS; FORT-COLLINS; LIDAR; WAVE; 105-DEGREES-W; STRATOSPHERE; VARIABILITY</t>
  </si>
  <si>
    <t>Airglow emission observations by the wind imaging interferometer (WINDII) on the Upper Atmosphere Research Satellite and three optical ground-based stations previously revealed a springtime transition in atomic oxygen. The transition is characterized by a rapid 2-day rise in the night-time oxygen nightglow emission rate by a factor of 2 to 3 followed by a subsequent decrease by a factor of 10 in the same period of time indicating a depletion of atomic oxygen that persists for days. The current study examines signatures in the upper mesosphere temperature field (70-95 km height range), derived from the WINDII Rayleigh scattering observations, which may be associated with this springtime depletion of the atomic oxygen. Comparisons with ground-based OH airglow rotational temperatures, Na lidar and Rayleigh scattering lidar temperatures, and meteor radar temperatures at middle and high latitudes in the Northern Hemisphere are presented and discussed. Data from the northern springtimes in 1992 and 1993 are reported upon in detail. It was found that all datasets used in the study agree well with each other taking account of the day/night time mean differences. A rapid temperature enhancement was observed at spring equinox at northern midlatitudes followed by a period of mean temperature colder than the one observed prior to the enhancement event, a pattern similar to that associated with the springtime transition observed in the oxygen emissions. The enhancement was also revealed in the average annual temperatures at 87 km, obtained by combining observations from 1992 to 1996, and in more recent temperature data from 1998 and 1999 at mid- and high northern latitudes. The results suggest that the temperature enhancement is associated with the last stratospheric warming event, observed at the end of March and early April. (C) 2002 Elsevier Science Ltd. All rights reserved.</t>
  </si>
  <si>
    <t>York Univ, Ctr Res Earth &amp; Space Sci, N York, ON M3J 1P3, Canada; British Antarctic Survey, Div Phys Sci, Cambridge CB3 0ET, England; Colorado State Univ, Dept Phys, Ft Collins, CO 80523 USA; Univ Western Ontario, Dept Phys &amp; Astron, London, ON, Canada; CNRS, Serv Aeron, Inst Pierre Simon Laplace, BP3, F-91371 Verrieres Le Buisson, France; Inst Cosmophys Res &amp; Aeron, Yakutsk, Russia; Freien Univ Berlin, Inst Meteorol, Berlin, Germany</t>
  </si>
  <si>
    <t>York University - Canada; UK Research &amp; Innovation (UKRI); Natural Environment Research Council (NERC); NERC British Antarctic Survey; Colorado State University; Western University (University of Western Ontario); Centre National de la Recherche Scientifique (CNRS); Universite Paris Saclay; Russian Academy of Sciences; Shafer Institute of Cosmophysical Research &amp; Aeronomy, Siberian Branch of the Russian Academy of Sciences; Free University of Berlin</t>
  </si>
  <si>
    <t>Shepherd, MG (corresponding author), York Univ, Ctr Res Earth &amp; Space Sci, 4700 Keele St, N York, ON M3J 1P3, Canada.</t>
  </si>
  <si>
    <t>Gavrilyeva, Galina/AAF-4484-2019; Gavrilyeva, Galina/HMU-9584-2023; Keckhut, Philippe/AFO-0077-2022; Gavrilyeva, Galina/B-9487-2014</t>
  </si>
  <si>
    <t>Gavrilyeva, Galina/0000-0002-5968-5644; Shepherd, Marianna/0000-0003-2731-8513</t>
  </si>
  <si>
    <t>PII S1364-6826(02)00068-8</t>
  </si>
  <si>
    <t>10.1016/S1364-6826(02)00068-8</t>
  </si>
  <si>
    <t>WOS:000176748800027</t>
  </si>
  <si>
    <t>Engelhard, GH; Brasseur, SMJM; Hall, AJ; Burton, HR; Reijnders, PJH</t>
  </si>
  <si>
    <t>Adrenocortical responsiveness in southern elephant seal mothers and pups during lactation and the effect of scientific handling</t>
  </si>
  <si>
    <t>JOURNAL OF COMPARATIVE PHYSIOLOGY B-BIOCHEMICAL SYSTEMIC AND ENVIRONMENTAL PHYSIOLOGY</t>
  </si>
  <si>
    <t>cortisol; hypothalamic-pituitary-adrenal axis; anaesthesia; lactation; Mirounga leonina</t>
  </si>
  <si>
    <t>PITUITARY-ADRENAL AXIS; FIRST-YEAR SURVIVAL; MIROUNGA-LEONINA; MACQUARIE-ISLAND; STRESS-RESPONSE; PHOCA-VITULINA; DECLINING POPULATION; PRODUCTION-RATES; PLASMA-CORTISOL; GREY SEALS</t>
  </si>
  <si>
    <t>We examined the cortisol responses to chemical and physical restraint stress in southern elephant seal Mirounga leonina females and their pups at three stages during lactation. In anaesthetised females the serum cortisol levels changed moderately during the 45-min sampling period following restraint, with average peaks at 23 min after anaesthetic administration. Overall, cortisol was relatively low 2 days postpartum and increased throughout lactation. In physically restrained pups serum cortisol increased rapidly after capture; the response was milder at age 2 days than at 11 days and 21 days. Levels were higher in female pups than in males. In order to test whether cortisol levels and/or responses became chronically (i.e. days to weeks) altered due to restraint, we compared the cortisol response at a late stage of lactation between three groups of mother-pup pairs previously given different levels of chemical (mothers) or physical (pups) restraint stress: control (not handled previously), moderate treatment (previously handled twice), and high treatment (previously handled 3-4 times). Pups of the three treatment groups showed similar adrenocortical responses suggesting no chronic effect of repeated physical restraint, despite the clear acute effects. Mothers of the control and moderate treatment groups showed similar cortisol responses; however, mothers of the high treatment group showed significantly attenuated responses. This indicated that elephant seals tolerated moderate degrees of handling disturbance; however, repeated (3-4) chemical immobilisations in lactating females may reduce their adrenocortical responsiveness for a period of days or weeks.</t>
  </si>
  <si>
    <t>Univ Groningen, Zool Lab, Ctr Ecol &amp; Evolutionary Studies, NL-9750 AA Haren, Netherlands; Alterra Inst, Marine &amp; Coastal Zone Res, NL-1790 AD Den Burg, Netherlands; Univ St Andrews, Gatty Marine Lab, Sea Mammal Res Unit, St Andrews KY16 8LB, Fife, Scotland; Australian Antarctic Div, Kingston, Tas 7050, Australia</t>
  </si>
  <si>
    <t>University of Groningen; Wageningen University &amp; Research; University of St Andrews; Australian Antarctic Division</t>
  </si>
  <si>
    <t>Engelhard, GH (corresponding author), Univ Groningen, Zool Lab, Ctr Ecol &amp; Evolutionary Studies, POB 14, NL-9750 AA Haren, Netherlands.</t>
  </si>
  <si>
    <t>Hall, Ailsa J/E-1596-2011</t>
  </si>
  <si>
    <t>reijnders, peter/0000-0002-3783-8283; Brasseur, Sophie M.J.M./0000-0002-9245-6990</t>
  </si>
  <si>
    <t>0174-1578</t>
  </si>
  <si>
    <t>J COMP PHYSIOL B</t>
  </si>
  <si>
    <t>J. Comp. Physiol. B-Biochem. Syst. Environ. Physiol.</t>
  </si>
  <si>
    <t>10.1007/s00360-002-0257-0</t>
  </si>
  <si>
    <t>Physiology; Zoology</t>
  </si>
  <si>
    <t>568DY</t>
  </si>
  <si>
    <t>WOS:000176528200005</t>
  </si>
  <si>
    <t>Tufts, BL; Gervais, MR; Staebler, M; Weaver, J</t>
  </si>
  <si>
    <t>Subcellular distribution and characterization of gill carbonic anhydrase and evidence for a plasma carbonic anhydrase inhibitor in Antarctic fish</t>
  </si>
  <si>
    <t>JOURNAL OF COMPARATIVE PHYSIOLOGY B-BIOCHEMICAL SYSTEMS AND ENVIRONMENTAL PHYSIOLOGY</t>
  </si>
  <si>
    <t>carbonic anhydrase; icefish; gill; blood; plasma inhibitor</t>
  </si>
  <si>
    <t>CHANNICHTHYS-RHINOCERATUS; PURIFICATION; BLOOD; ERYTHROCYTES; ELASMOBRANCH; SENSITIVITY; TRANSPORT; EXCHANGE; DOGFISH; RELEASE</t>
  </si>
  <si>
    <t>This main purpose of this study was to examine the subcellular distribution and isozyme characteristics of branchial carbonic anhydrase (CA) in Chaenocephalus aceratus, an Antarctic icefish that lacks erythrocytes. The Antarctic fish, Notothenia coriiceps, which possesses erythrocytes, was also studied for comparative purposes. The gills of both species were found to have measurable activity of CA. N. coriiceps also had normal levels of blood CA activity. In contrast, the icefish, C. aceratus, lacked blood CA activity, but was found to possess an endogenous plasma CA inhibitor. The large majority of branchial CA in the gills of these species was located in the cytoplasmic fraction whereas less than 3% was associated with the membrane fraction. In both species, CA from the cytoplasmic gill fraction and membrane fraction differed markedly in terms of their sensitivity to the plasma CA inhibitor from C. aceratus. In addition, treatment with the cleaving enzyme phosphatidylinositol-specific phospholipase C indicated that CA from the branchial membrane fraction of both species is anchored to the membrane via a phosphatidylinositol-glycan linkage. Taken together, these results provide evidence for a CA IV-like isozyme in the gills of Antarctic fish. At present, the functional significance of this membrane-bound CA is unknown, but the relative amount of this isozyme appeared to be greater in the gills of C aceratus, the species that lacked erythrocytes.</t>
  </si>
  <si>
    <t>Queens Univ, Dept Biol, Kingston, ON K7L 3N6, Canada</t>
  </si>
  <si>
    <t>Tufts, BL (corresponding author), Queens Univ, Dept Biol, Kingston, ON K7L 3N6, Canada.</t>
  </si>
  <si>
    <t>tuftsb@biology.queensu.ca</t>
  </si>
  <si>
    <t>SPRINGER HEIDELBERG</t>
  </si>
  <si>
    <t>HEIDELBERG</t>
  </si>
  <si>
    <t>TIERGARTENSTRASSE 17, D-69121 HEIDELBERG, GERMANY</t>
  </si>
  <si>
    <t>1432-136X</t>
  </si>
  <si>
    <t>10.1007/s00360-002-0253-4</t>
  </si>
  <si>
    <t>WOS:000176528200002</t>
  </si>
  <si>
    <t>Stenni, B; Proposito, M; Gragnani, R; Flora, O; Jouzel, J; Falourd, S; Frezzotti, M</t>
  </si>
  <si>
    <t>Eight centuries of volcanic signal and climate change at Talos Dome (East Antarctica)</t>
  </si>
  <si>
    <t>NORTHERN VICTORIA-LAND; DRONNING MAUD-LAND; ICE-CORE; TAYLOR DOME; FIRN-CORE; EXPLOSIVE VOLCANISM; ACCUMULATION RATES; CONTINUOUS RECORD; HOLOCENE CLIMATE; LAST MILLENNIUM</t>
  </si>
  <si>
    <t>[1] During the 1996 Programma Nazionale di Ricerche in Antartide-International Trans-Antarctic Scientific Expedition traverse, two firn cores were retrieved from the Talos Dome area (East Antarctica) at elevations of 2316 m (TD, 89 m long) and 2246 m (ST556, 19 m long). Cores were dated by using seasonal variations in non-sea-salt (nss) SO42- concentrations coupled with the recognition of tritium marker level (1965-1966) and nss SO42- spikes due to the most important volcanic events in the past (Pinatubo 1991, Agung 1963, Krakatoa 1883, Tambora 1815, Kuwae 1452, Unknown 1259). The number of annual layers recognized in the TD and ST556 cores was 779 and 97, respectively. The deltaD record obtained from the TD core has been compared with other East Antarctic isotope ice core records (Dome C EPICA, South Pole, Taylor Dome). These records suggest cooler climate conditions between the middle of 16th and the beginning of 19th centuries, which might be related to the Little Ice Age (LIA) cold period. Because of the high degree of geographical variability, the strongest LIA cooling was not temporally synchronous over East Antarctica, and the analyzed records do not provide a coherent picture for East Antarctica. The accumulation rate record presented for the TD core shows a decrease during part of the LIA followed by an increment of about 11% in accumulation during the 20th century. At the ST556 site, the accumulation rate observed during the 20th century was quite stable.</t>
  </si>
  <si>
    <t>Univ Trieste, Dipartimento Sci Geol Ambientali &amp; Marine, I-34127 Trieste, Italy; Museo Nazl Antartide, I-53100 Siena, Italy; ENEA, CR Casaccia, I-00100 Rome, Italy; CEA Saclay, CNRS, UMR 1572, Lab Sci Climat &amp; Environm, F-91191 Gif Sur Yvette, France</t>
  </si>
  <si>
    <t>University of Trieste; Italian National Agency New Technical Energy &amp; Sustainable Economics Development; CEA; Centre National de la Recherche Scientifique (CNRS); Universite Paris Saclay</t>
  </si>
  <si>
    <t>Univ Trieste, Dipartimento Sci Geol Ambientali &amp; Marine, Via E Weiss 2, I-34127 Trieste, Italy.</t>
  </si>
  <si>
    <t>stenni@univ.trieste.it</t>
  </si>
  <si>
    <t>FREZZOTTI, Massimo/AAK-7275-2020</t>
  </si>
  <si>
    <t>FREZZOTTI, Massimo/0000-0002-2461-2883; Proposito, Marco/0000-0002-5977-3003; Stenni, Barbara/0000-0003-4950-3664</t>
  </si>
  <si>
    <t>D9</t>
  </si>
  <si>
    <t>10.1029/2000JD000317</t>
  </si>
  <si>
    <t>609GG</t>
  </si>
  <si>
    <t>WOS:000178894800002</t>
  </si>
  <si>
    <t>Zängl, G</t>
  </si>
  <si>
    <t>Dynamical heating in the polar lower stratosphere and its impact on the tropopause -: art. no. 4079</t>
  </si>
  <si>
    <t>polar tropopause; dynamical heating; radiative-convective model; stratospheric circulation</t>
  </si>
  <si>
    <t>GENERAL-CIRCULATION MODEL; ANTARCTIC OZONE HOLE; DIABATIC CIRCULATION; MIDDLE ATMOSPHERE; DOWNWARD CONTROL; LATE WINTER; TRANSPORT; CLOUDS; RATES; HEMISPHERE</t>
  </si>
  <si>
    <t>[1] A radiative-convective model is used to compute dynamical heating rates in the polar lower stratosphere. In contrast to previous studies, full annual cycles are considered, and zonal asymmetries in the Arctic are also taken into account. Moreover, the impact of dynamical heating on the polar tropopause is examined. It is found that substantial zonal asymmetries are present in the Arctic lower stratosphere except in summer when heating rates are generally close to zero. Between September and January, the heating rates outside the polar vortex are at least twice as large as in the polar vortex region. Between February and April, when the polar vortex is eroded by stratospheric warmings, zonal asymmetries decrease. However, meridional heating rate gradients are maximum in February and March since the strongest heating occurs at high latitudes. At 100 hPa, heating rates up to 1 K d(-1) are found. In the Antarctic, dynamical heating in the lower stratosphere exhibits a double wave with maxima in spring and autumn and minima in summer and winter. The maximum heating rates are substantially lower than in the Arctic and amount to similar to0.4 K d(-1) at 100 hPa. However, dynamical heating is significantly positive even in summer. The simulations indicate that dynamical heating has a fundamental impact on the tropopause, particularly in the north polar region. There, the annual cycle of the tropopause pressure would be entirely different without dynamical heating.</t>
  </si>
  <si>
    <t>Univ Munich, Inst Meteorol, D-80333 Munich, Germany</t>
  </si>
  <si>
    <t>University of Munich</t>
  </si>
  <si>
    <t>guenther@meteo.physik.uni-muenchen.de</t>
  </si>
  <si>
    <t>D10</t>
  </si>
  <si>
    <t>10.1029/2001JD000662</t>
  </si>
  <si>
    <t>609HA</t>
  </si>
  <si>
    <t>WOS:000178896500027</t>
  </si>
  <si>
    <t>Zwally, HJ; Comiso, JC; Parkinson, CL; Cavalieri, DJ; Gloersen, P</t>
  </si>
  <si>
    <t>Variability of Antarctic sea ice 1979-1998</t>
  </si>
  <si>
    <t>sea ice; Antarctic; climate; passive microwave; Southern Ocean</t>
  </si>
  <si>
    <t>SOUTHERN-OCEAN; BOTTOM WATER; CIRCUMPOLAR WAVE; TIME-SERIES; CLIMATE VARIABILITY; TRENDS; TEMPERATURE; MODEL; PARAMETERS; REDUCTION</t>
  </si>
  <si>
    <t>[1] The principal characteristics of the variability of Antarctic sea ice cover as previously described from satellite passive microwave observations are also evident in a systematically calibrated and analyzed data set for 20.2 years (1979-1998). The total Antarctic sea ice extent (concentration &gt;15%) increased by 11,180 +/- 4190 km(2) yr(-1) (0.98 +/- 0.37% (decade)(-1)). The increase in the area of sea ice within the extent boundary is similar (10,860 +/- 3720 km(2) yr(-1) and 1.26 +/- 0.43% (decade)(-1)). Regionally, the trends in extent are positive in the Weddel Sea (1.4 +/- 0.9% (decade)(-1)), Pacific Ocean (2.0 +/- 1.4% (decade)(-1)), and Ross (6.7 +/- 1.1% (decade)(-1)) sectors, slightly negative in the Indian Ocean (-1.0 +/- 1.0% (decade)(-1)), and strongly negative in the Bellingshausen-Amundsen Seas sector (-9.7 +/- 1.5% (decade)(-1)). For the entire ice pack, ice increases occur in all seasons, with the largest increase during fall. On a regional basis the trends differ season to season. During summer and fall the trends are positive or near zero in all sectors except the Bellingshausen-Amundsen Seas sector. During winter and spring the trends are negative or near zero in all sectors except the Ross Sea, which has positive trends in all seasons. Components of interannual variability with periods of about 3-5 years are regionally large but tend to counterbalance each other in the total ice pack. The interannual variability of the annual mean sea ice extent is only 1.6% overall, compared to 6-9% in each of five regional sectors. Analysis of the relation between regional sea ice extents and spatially averaged surface temperatures over the ice pack gives an overall sensitivity between winter ice cover and temperature of -0.7% change in sea ice extent per degree Kelvin. For summer some regional ice extents vary positively with temperature, and others vary negatively. The observed increase in Antarctic sea ice cover is counter to the observed decreases in the Arctic. It is also qualitatively consistent with the counterintuitive prediction of a global atmospheric-ocean model of increasing sea ice around Antarctica with climate warming due to the stabilizing effects of increased snowfall on the Southern Ocean.</t>
  </si>
  <si>
    <t>NASA, Goddard Space Flight Ctr, Oceans &amp; Ice Branch, Greenbelt, MD 20771 USA</t>
  </si>
  <si>
    <t>National Aeronautics &amp; Space Administration (NASA); NASA Goddard Space Flight Center</t>
  </si>
  <si>
    <t>NASA, Goddard Space Flight Ctr, Oceans &amp; Ice Branch, Code 971, Greenbelt, MD 20771 USA.</t>
  </si>
  <si>
    <t>jay.zwally@gsfc.nasa.gov</t>
  </si>
  <si>
    <t>Parkinson, Claire L/E-1747-2012; Parkinson, Claire/JAC-7676-2023</t>
  </si>
  <si>
    <t>Parkinson, Claire L/0000-0001-6730-4197; Parkinson, Claire/0000-0001-6730-4197</t>
  </si>
  <si>
    <t>C5</t>
  </si>
  <si>
    <t>10.1029/2000JC000733</t>
  </si>
  <si>
    <t>609VR</t>
  </si>
  <si>
    <t>WOS:000178926100007</t>
  </si>
  <si>
    <t>Linse, K; Schiotte, T</t>
  </si>
  <si>
    <t>A new species of Diaphana from bathyal depths in the Weddell Sea, Antarctica and first record of Diaphana inflata (Strebel, 1908) in the high Antarctic (Gastropoda: Opisthobranchia)</t>
  </si>
  <si>
    <t>JOURNAL OF MOLLUSCAN STUDIES</t>
  </si>
  <si>
    <t>Diaphana haini n.sp. is described from Antarctica. With a depth range from about 400 to 2100 m, D. haini is the second Antarctic species of this genus to extend into the deep sea, the other being D. inflata (Strebel, 1908). Phylogenetic analysis has allowed D. haini to be incorporated within Schiotte's (1998) cladogram for this genus and, thereby clarify its historical zoogeography. A record of D. inflata from the Weddell Sea extends its known distribution range. The recorded geographic distribution now ranges from South Georgia to the Antarctic continent, and the depth range is extended considerably, from 252-310 m to 1645 m.</t>
  </si>
  <si>
    <t>British Antarctic Survey, NERC, Cambridge CB3 0ET, England; Zool Museum, DK-2100 Copenhagen O, Denmark</t>
  </si>
  <si>
    <t>Linse, K (corresponding author), British Antarctic Survey, NERC, High Cross,Madingley Rd, Cambridge CB3 0ET, England.</t>
  </si>
  <si>
    <t>Linse, Katrin/0000-0003-3477-3047</t>
  </si>
  <si>
    <t>0260-1230</t>
  </si>
  <si>
    <t>J MOLLUS STUD</t>
  </si>
  <si>
    <t>J. Molluscan Stud.</t>
  </si>
  <si>
    <t>10.1093/mollus/68.2.147</t>
  </si>
  <si>
    <t>Marine &amp; Freshwater Biology; Zoology</t>
  </si>
  <si>
    <t>556JJ</t>
  </si>
  <si>
    <t>WOS:000175845400005</t>
  </si>
  <si>
    <t>Rintoul, SR; England, MH</t>
  </si>
  <si>
    <t>Ekman transport dominates local air-sea fluxes in driving variability of subantarctic mode water</t>
  </si>
  <si>
    <t>DECADAL CHANGES; CLIMATE VARIABILITY; CIRCUMPOLAR WAVE; OCEAN; PACIFIC; TEMPERATURE; CO2; CIRCULATION; MECHANISM; TASMANIA</t>
  </si>
  <si>
    <t>Subantarctic Mode Water (SAMW) is formed by deep convection in winter on the equatorward side of the Antarctic Circumpolar Current. Observations south of Australia show that the SAMW temperature (T) and salinity (S) vary significantly from year to year. The magnitude and density-compensating nature of the temperature and salinity changes cannot be explained by variations in air-sea exchange of heat and freshwater in the subantarctic zone where SAMW is formed. Rather, the T and S variability reflects variations in the equatorward Ekman transport of cool, low salinity water across the subantarctic front. Experiments with a coupled climate model suggest that the observations south of Australia are typical of the subantarctic zone. The model changes in SAMW properties are correlated significantly (at 99% level) with changes in wind stress and northward Ekman transport of cool low-salinity water. In contrast, air-sea heat flux anomalies are mostly a response to changes in SST, and anomalies in precipitation minus evaporation in the subantarctic zone are too small to account for the model SAMW salinity variations. Mode waters provide significant reservoirs of heat and freshwater that extend below the depth of the seasonal thermocline and, hence, can persist from year to year. The fact that wind stress variations can drive changes in mode water properties therefore has implications for climate variability.</t>
  </si>
  <si>
    <t>CSIRO, Div Oceanog, Hobart, Tas 7001, Australia; Antarctic CRC, Hobart, Tas, Australia; Univ New S Wales, Sydney, NSW, Australia</t>
  </si>
  <si>
    <t>Commonwealth Scientific &amp; Industrial Research Organisation (CSIRO); University of New South Wales Sydney</t>
  </si>
  <si>
    <t>CSIRO, Div Oceanog, GPO Box 1538, Hobart, Tas 7001, Australia.</t>
  </si>
  <si>
    <t>rintoul@drought.ml.csiro.au</t>
  </si>
  <si>
    <t>Rintoul, Stephen R/A-1471-2012; England, Matthew/A-7539-2011</t>
  </si>
  <si>
    <t>Rintoul, Stephen R/0000-0002-7055-9876; England, Matthew/0000-0001-9696-2930</t>
  </si>
  <si>
    <t>45 BEACON ST, BOSTON, MA 02108-3693, UNITED STATES</t>
  </si>
  <si>
    <t>10.1175/1520-0485(2002)032&lt;1308:ETDLAS&gt;2.0.CO;2</t>
  </si>
  <si>
    <t>547GW</t>
  </si>
  <si>
    <t>WOS:000175325500003</t>
  </si>
  <si>
    <t>Sun, C; Watts, DR</t>
  </si>
  <si>
    <t>A pulsation mode in the Antarctic Circumpolar Current south of Australia</t>
  </si>
  <si>
    <t>BOTTOM PRESSURE MEASUREMENTS; GRAVEST EMPIRICAL MODE; GULF-STREAM; VARIABILITY; TRANSPORT; WIND; TEMPERATURE; HEMISPHERE; WAVE</t>
  </si>
  <si>
    <t>A streamfunction EOF method is developed to identify long-term thermohaline variations within a strong baroclinic current. The temporal variability associated with meandering fronts and mesoscale eddies is removed by projecting hydrographic data into a baroclinic streamfunction space. The residual field, after removing the streamfunction mean field, is analyzed to find empirical orthogonal functions. The method is applied to a time series of hydrographic sections across the Antarctic Circumpolar Current (ACC) south of Australia. The temperature variation in the surface layer (0-300 dbar) is dominated by a seasonal signal. In the subsurface water (300-3000 dbar), a separately calculated first EOF mode dominates the thermohaline variation and exhibits two phases. In the strengthening phase both salinity and temperature in the Subantarctic Mode Water increase and the ACC section is characterized by less Antarctic Intermediate Water and higher salinity at the core of the Circumpolar Deep Water. The water masses vary conversely in the relaxing phase. The authors call this mode the ACC pulsation mode and hypothesize that it is related to the ACC barotropic transport and is a response to the large-scale wind stress variation. Observations of westerly winds and ACC transport appear to support the hypothesis as they all display semiannual periods nearly in phase with higher coherence to the south.</t>
  </si>
  <si>
    <t>Univ Rhode Isl, Grad Sch Oceanog, Narragansett, RI 02882 USA</t>
  </si>
  <si>
    <t>University of Rhode Island</t>
  </si>
  <si>
    <t>Sun, C (corresponding author), Princeton Univ, NOAA, GFDL, POB 308, Princeton, NJ 08542 USA.</t>
  </si>
  <si>
    <t>Sun, Che/0000-0002-4223-293X</t>
  </si>
  <si>
    <t>10.1175/1520-0485(2002)032&lt;1479:APMITA&gt;2.0.CO;2</t>
  </si>
  <si>
    <t>WOS:000175325500013</t>
  </si>
  <si>
    <t>Phillips, HE; Rintoul, SR</t>
  </si>
  <si>
    <t>A mean synoptic view of the subantarctic front south of Australia</t>
  </si>
  <si>
    <t>ANTARCTIC CIRCUMPOLAR CURRENT; GULF-STREAM; DRAKE PASSAGE; TRANSPORT; VELOCITY; OCEAN; 68-DEGREES-W; VARIABILITY; ALTIMETER; TASMANIA</t>
  </si>
  <si>
    <t>A mean synoptic view of the subantarctic front (SAF) is obtained from current meter and hydrographic data by averaging absolute and baroclinic velocity measurements in bins defined by a cross-stream coordinate that moves with the current. The cross-stream coordinate is derived from current meter measurements of vertical shear of the horizontal velocity and is expressed in terms of specific volume anomaly at 780 dbar (delta(780)). By averaging absolute and baroclinic velocity measurements in stream coordinates, the spatial smoothing that results from Eulerian averaging of measurements of a meandering current is avoided. The mean SAF velocity profile is composed of one central peak and several smaller peaks. In the central peak, the 2-yr mean absolute velocity from current meters reaches 52 cm s(-1) at 420 dbar; the mean baroclinic velocity from six CTD sections reaches 34 cm s(-1). The SAF flow is coherent at all levels, reaches the seafloor, and is at least 220 km wide. The cross-stream structure of baroclinic and absolute transport of the SAF has been characterized for the first time. The integrated mean transport is 116 +/- 10 (x10(6) m(3) s(-1)), of which approximately 14% is barotropic, where barotropic transport is defined to be the velocity at the deepest current meter (3320 dbar) multiplied by the water depth. Comparison of the current meter measurements with hydrographic sections suggest this estimate is likely a lower bound on the absolute transport, as part of the cold side'' of the SAF is not sampled by the moored array. Linear conditions for baroclinic and barotropic instability of the mean flow are satisfied at the array, consistent with earlier work that showed baroclinic conversion is the dominant mechanism for eddy growth at the array, with weaker barotropic conversion also occurring.</t>
  </si>
  <si>
    <t>Univ Tasmania, Inst Antarctic &amp; So Ocean Studies, Hobart, Tas 7001, Australia; Antarctic Cooperat Res Ctr, Hobart, Tas, Australia; CSIRO, Div Marine Res, Hobart, Tas, Australia</t>
  </si>
  <si>
    <t>University of Tasmania; Commonwealth Scientific &amp; Industrial Research Organisation (CSIRO)</t>
  </si>
  <si>
    <t>Phillips, HE (corresponding author), Woods Hole Oceanog Inst, MS21,360 Woods Hole Rd, Woods Hole, MA 02543 USA.</t>
  </si>
  <si>
    <t>Phillips, Helen/I-3761-2013; Rintoul, Stephen R/A-1471-2012</t>
  </si>
  <si>
    <t>Phillips, Helen/0000-0002-2941-7577; Rintoul, Stephen R/0000-0002-7055-9876</t>
  </si>
  <si>
    <t>10.1175/1520-0485(2002)032&lt;1536:AMSVOT&gt;2.0.CO;2</t>
  </si>
  <si>
    <t>WOS:000175325500017</t>
  </si>
  <si>
    <t>McDougall, TJ; Greatbatch, RJ; Lu, YY</t>
  </si>
  <si>
    <t>On conservation equations in oceanography: How accurate are Boussinesq ocean models?</t>
  </si>
  <si>
    <t>CIRCULATION MODELS; SIMULATIONS; PRESSURE</t>
  </si>
  <si>
    <t>Traditionally, the conservation equations in oceanography include the Boussinesq approximation, and the velocity variable is interpreted as the Eulerian mean velocity averaged over turbulent scales. If such a view is adopted, then the conservation equations for tracers contain errors that are often as large as the diapycnal mixing term. This result has been known for about a decade and, at face value, implies that all Boussinesq ocean models contain leading-order errors in their conservation equations. To date there has not yet been a solution proposed to avoid this conundrum. Here it is shown that the conundrum can be solved by interpreting the horizontal velocity vector carried by Boussinesq ocean models as the average horizontal mass flux per unit area divided by the constant reference density that appears in the horizontal momentum equation. The authors argue that the vector labeled the velocity'' in present ocean models is not, and never was, the Eulerian mean velocity. If it were, then the conservation equations for salinity anomaly and potential temperature would contain systematic errors whose magnitude would be as large as the diapycnal mixing terms. By interpreting the model's horizontal velocity'' as being proportional to the horizontal mass flux per unit area, the conservation equations in the present generation of Boussinesq models are actually much more accurate even than previously thought. In particular, when these Boussinesq models achieve a steady state, they are actually almost fully non-Boussinesq, and in a nonsteady state there is no systematic error in the diapycnal advective/diffusive balance due to the Boussinesq approximation. With the above interpretation of the model's velocity,'' it is also relatively simple to change the model code to make it fully non-Boussinesq even when the flow is unsteady. A conclusion of the authors' work is that the Boussinesq approximation actually consists of three parts, not two, as has been assumed in the past. Traditionally, the Boussinesq approximation consists of replacing (i) the equation for conservation of mass by the equation for conservation of volume and (ii) the density that appears in the temporal and advection operators by a constant reference density. Here the authors show that it is also important to (iii) ensure that using a divergence free velocity to advect tracer does not lead to significant error, an aspect of the Boussinesq approximation that has previously been overlooked.</t>
  </si>
  <si>
    <t>CSIRO, Div Marine Res, Hobart, Tas 7001, Australia; Univ Tasmania, Antarctic CRC, Hobart, Tas, Australia; Dalhousie Univ, Dept Oceanog, Halifax, NS, Canada; Univ Calif San Diego, Scripps Inst Oceanog, Phys Oceanog Res Div, La Jolla, CA 92093 USA</t>
  </si>
  <si>
    <t>Commonwealth Scientific &amp; Industrial Research Organisation (CSIRO); University of Tasmania; Dalhousie University; University of California System; University of California San Diego; Scripps Institution of Oceanography</t>
  </si>
  <si>
    <t>McDougall, TJ (corresponding author), CSIRO, Div Marine Res, GPO Box 1538, Hobart, Tas 7001, Australia.</t>
  </si>
  <si>
    <t>McDougall, Trevor J/A-6770-2013</t>
  </si>
  <si>
    <t>Lu, Youyu/0000-0003-2416-5443</t>
  </si>
  <si>
    <t>10.1175/1520-0485(2002)032&lt;1574:OCEIOH&gt;2.0.CO;2</t>
  </si>
  <si>
    <t>WOS:000175325500020</t>
  </si>
  <si>
    <t>Alexanderson, H; Adrielsson, L; Hjort, C; Möller, P; Antonov, O; Eriksson, S; Pavlov, M</t>
  </si>
  <si>
    <t>Depositional history of the North Taymyr ice-marginal zone, Siberia -: a landsystem approach</t>
  </si>
  <si>
    <t>JOURNAL OF QUATERNARY SCIENCE</t>
  </si>
  <si>
    <t>ice-marginal zone; landsystem; glaciation; Weichselian; Siberia</t>
  </si>
  <si>
    <t>SUBGLACIAL DRAINAGE; WOLLASTON PENINSULA; VICTORIA-ISLAND; KARA SEA; SHEET; PERMAFROST; LAURENTIDE; LANDFORMS; AGE; GLACIATION</t>
  </si>
  <si>
    <t>The sediment-landform associations of the northern Taymyr Peninsula in Arctic Siberia tell a tale of ice sheets advancing from the Kara Sea shelf and inundating the peninsula, probably three times during the Weichselian. In each case the ice sheet had a margin frozen to its bed and an interior moving over a deforming bed. The North Taymyr ice-marginal zone (NTZ) comprises ice-marginal and supraglacial landsystems dominated by thrust-block moraines 2-3 km wide and large-scale deformation of sediments and ice. Large areas are still underlain by remnant glacier ice and a supraglacial landscape with numerous ice-walled lakes and kames is forming even today. The proglacial landsystem is characterised by subaqueous (e.g. deltas) or terrestrial (e.g. sandar) environments, depending on location/altitude and time of formation. Dating results (OSL, C-14) indicate that the NTZ was initiated ca. 80 kyr BP during the retreat of the Early Weichselian ice sheet and that it records the maximum limit of a Middle Weichselian glaciation (ca. 65 kyr BP). During both these events, proglacial lakes were dammed by the ice sheets. Part of the NTZ was occupied by a thin Late Weichselian ice sheet (20-12 kyr BP), resulting in subaerial proglacial drainage. Copyright (C) 2002 John Wiley Sons, Ltd.</t>
  </si>
  <si>
    <t>Lund Univ, Dept Geol, SE-22362 Lund, Sweden; State Res Inst Min Geomech &amp; Mine Surveying VNIMI, St Petersburg 199026, Russia; Arctic &amp; Antarctic Res Inst, St Petersburg 199397, Russia</t>
  </si>
  <si>
    <t>Lund University; Arctic &amp; Antarctic Research Institute</t>
  </si>
  <si>
    <t>Lund Univ, Dept Geol, Solvegatan 13, SE-22362 Lund, Sweden.</t>
  </si>
  <si>
    <t>helena.alexanderson@geol.lu.se</t>
  </si>
  <si>
    <t>Павлов, Максим/N-9444-2015; Möller, Per/AAJ-7963-2020</t>
  </si>
  <si>
    <t>Павлов, Максим/0000-0003-2749-0153; Möller, Per/0000-0001-5365-2668</t>
  </si>
  <si>
    <t>0267-8179</t>
  </si>
  <si>
    <t>1099-1417</t>
  </si>
  <si>
    <t>J QUATERNARY SCI</t>
  </si>
  <si>
    <t>J. Quat. Sci.</t>
  </si>
  <si>
    <t>10.1002/jqs.677</t>
  </si>
  <si>
    <t>578VQ</t>
  </si>
  <si>
    <t>WOS:000177142100007</t>
  </si>
  <si>
    <t>Evans, J; Pudsey, CJ</t>
  </si>
  <si>
    <t>Sedimentation associated with Antarctic Peninsula ice shelves: implications for palaeoenvironmental reconstructions of glacimarine sediments</t>
  </si>
  <si>
    <t>JOURNAL OF THE GEOLOGICAL SOCIETY</t>
  </si>
  <si>
    <t>Antarctic Peninsula; ice shelves; sediment facies; facies associations; deglaciation</t>
  </si>
  <si>
    <t>EAST GREENLAND; SCORESBY-SUND; ROSS SEA; FACIES; RETREAT; ALASKA; FJORDS; BAY</t>
  </si>
  <si>
    <t>Recent disintegration of a number of Antarctic Peninsula ice shelves has given us a unique opportunity to investigate sub-ice-shelf sediments. We characterize three sediment facies associations of two Antarctic Peninsula ice shelves (Larsen-A and Larsen Inlet). Subglacial facies consist mainly of basal till (diamicton) with high shear strengths deposited under a grounded ice sheet. Progressive upward decrease in shear strength reflects a gradual decrease in the confining vertical effective pressure of grounded ice during till deposition. Proximal ice-shell glacimarine facies (diamicton, gravel-rich and sand-rich facies, gravelly mud, dropstone Mud and sands muds) ere deposited by sub-ice-shelf rain out, bottom current activity and sediment gravity flows following decoupling of grounded ice from the sea-floor, Distal, he-shell glacimarine and/or open marine facies comprise terrigenous and diatom-bearing bioturbated muds and gravelly muds that contain limited ice-rafted debris these accumulated after recession of the grounding line to the coast, with coarse-grained surface sediments possible documenting most recent ice-shelf break-up. Antarctic Peninsula ice-shelf sediments are more heterogeneous than ice-shelf facies deposited else's here in Antarctica. Cold. polar Antarctic ice shelves can be differentiated from temperate and sub-polar marine-terminated glacial sedimentary systems by the dominance of coarse-grained proximal. ice-shelf glacimarine facies and an absence of subaqueous outwash/meltwater sediment facies.</t>
  </si>
  <si>
    <t>j.evans@bas.ac.uk</t>
  </si>
  <si>
    <t>Evans, Jeffrey/F-5548-2010</t>
  </si>
  <si>
    <t>GEOLOGICAL SOC PUBL HOUSE</t>
  </si>
  <si>
    <t>BATH</t>
  </si>
  <si>
    <t>UNIT 7, BRASSMILL ENTERPRISE CENTRE, BRASSMILL LANE, BATH BA1 3JN, AVON, ENGLAND</t>
  </si>
  <si>
    <t>0016-7649</t>
  </si>
  <si>
    <t>2041-479X</t>
  </si>
  <si>
    <t>J GEOL SOC LONDON</t>
  </si>
  <si>
    <t>J. Geol. Soc.</t>
  </si>
  <si>
    <t>10.1144/0016-764901-125</t>
  </si>
  <si>
    <t>547GC</t>
  </si>
  <si>
    <t>WOS:000175323800003</t>
  </si>
  <si>
    <t>Eiane, K; Aksnes, DL; Ohman, MD; Wood, S; Martinussen, MB</t>
  </si>
  <si>
    <t>Stage-specific mortality of Calanus spp. under different predation regimes</t>
  </si>
  <si>
    <t>LIMNOLOGY AND OCEANOGRAPHY</t>
  </si>
  <si>
    <t>CHAETOGNATH EUKROHNIA-HAMATA; CARNIVOROUS MARINE COPEPOD; DIEL VERTICAL MIGRATION; NORTHERN NORTH-SEA; POPULATION-DYNAMICS; EUCHAETA-ELONGATA; PLANKTONIC COPEPODS; MAUROLICUS-MUELLERI; ANTARCTIC PENINSULA; FEEDING-BEHAVIOR</t>
  </si>
  <si>
    <t>We have applied the population surface method to estimate the mortality rates of eggs, nauplii, and copepodids of Calanus spp. in two Norwegian fjords with contrasting predator guilds. Efforts were concentrated in Lurefjorden on the western coast (sampled weekly from late February to mid-June), an unusual fjord dominated by invertebrate (tactile) planktivores. In addition, monthly sampling in Sorfjorden was carried out for comparisons. The latter fjord resembles most Western Norwegian fjords in that it contains populations of vertebrate (visual) planktivores but lower abundance of the invertebrate planktivores. In Lurefjorden, mortality of Calanus spp. was high early in life (similar to0.35 d(-1)), but significantly lower (similar to0.00 d(-1)) in the early copepodid stages. In Sorfjorden, mortality was rather uniform throughout ontogeny (similar to0.08 d(-1)). The noted differences are consistent with different patterns of selective predation between the two fjords. Visual predation in Sorfjorden gave rise to persistent high mortality over the life cycle. Tactile predation in Lurefjorden gave rise to a concave mortality curve for the later developmental stages. Our results indicate that mortality patterns suffered by natural zooplankton populations may differ greatly over short geographical distances, and we suggest that the predator community and mortality patterns must be considered when addressing the spatial and temporal dynamics of zooplankton populations.</t>
  </si>
  <si>
    <t>Univ Courses Svalbard, N-9171 Longyearbyen, Norway; Univ Bergen, Dept Fisheries &amp; Marine Biol, N-5020 Bergen, Norway; Univ Calif San Diego, Scripps Inst Oceanog, La Jolla, CA 92093 USA; Math Inst, St Andrews KY16 9SS, Fife, Scotland</t>
  </si>
  <si>
    <t>University of Bergen; University of California System; University of California San Diego; Scripps Institution of Oceanography; University of St Andrews</t>
  </si>
  <si>
    <t>Eiane, K (corresponding author), Univ Courses Svalbard, N-9171 Longyearbyen, Norway.</t>
  </si>
  <si>
    <t>Eiane, Ketil/B-2073-2012; Aksnes, Dag Lorents/O-4545-2019; Eiane, Ketil/G-5510-2010; Aksnes, Dag L/A-9093-2011; Ohman, Mark D/C-8763-2009; Wood, Simon/B-3058-2010</t>
  </si>
  <si>
    <t>Ohman, Mark D/0000-0001-8136-3695; Wood, Simon/0000-0002-2034-7453</t>
  </si>
  <si>
    <t>AMER SOC LIMNOLOGY OCEANOGRAPHY</t>
  </si>
  <si>
    <t>WACO</t>
  </si>
  <si>
    <t>5400 BOSQUE BLVD, STE 680, WACO, TX 76710-4446 USA</t>
  </si>
  <si>
    <t>0024-3590</t>
  </si>
  <si>
    <t>LIMNOL OCEANOGR</t>
  </si>
  <si>
    <t>Limnol. Oceanogr.</t>
  </si>
  <si>
    <t>10.4319/lo.2002.47.3.0636</t>
  </si>
  <si>
    <t>Limnology; Oceanography</t>
  </si>
  <si>
    <t>551HP</t>
  </si>
  <si>
    <t>WOS:000175554700003</t>
  </si>
  <si>
    <t>Rocco, VE; Oppezzo, O; Pizarro, R; Sommaruga, R; Ferraro, M; Zagarese, HE</t>
  </si>
  <si>
    <t>Ultraviolet damage and counteracting mechanisms in the freshwater copepod Boeckella poppei from the Antarctic Peninsula</t>
  </si>
  <si>
    <t>MYCOSPORINE-LIKE COMPOUNDS; SINGLE LIGHT-FLASHES; INDUCED DNA-DAMAGE; PHOTOREACTIVATING ENZYME; PHOTOENZYMATIC REPAIR; AMINO-ACIDS; UV LESIONS; RADIATION; LAKES</t>
  </si>
  <si>
    <t>The process of ozone depletion over the Antarctic continent has resulted in the increase of incident ultraviolet-B (UVB) radiation, whose effects may be damaging to living organisms. To counteract the negative effects of ultraviolet radiation (UVR), aquatic organisms may display one or more strategies: (1) avoidance (i.e. deep distribution); (2) photoprotection through the use of sunscreen compounds, such as mycosporine-like amino acids (MAAs); and (3) enzymatic repair of the damage. The effects of UVR were assessed on four populations of the copepod Boeckella poppei from Antarctic lakes using laboratory and field experiments. The results were related to measurements of DNA enzymatic repair activity and MAA concentration. This is the first study that combines these measurements in zooplankton. Boeckella poppei was highly tolerant to UVR (LD50 = 2.2-2.78 J cm(-2)). However, measurements of photorecovery (comparison of UVB mortality in the presence and absence of photoreactivating light) and dosage of photolyase activity indicated low rates of enzymatic repair, which may be the result of low temperatures typical of Antarctic lakes. Three different MAAs were identified, both in phytoplankton and copepods: porphyra-334, mycosporine-glycine, and shinorine. The population of B. poppei from Lake Boeckella had the lowest MAA concentration, as well as the lowest tolerance to artificial and natural UVR. These findings Support the idea that UV tolerance in this species is related to the accumulation of MAAs. A comparison of the strategies used to cope with potentially damaging levels of UVR by different species of Boeckella indicates a high degree of plasticity in this genus, which has probably been key for its success to colonize a wide range of UV environments.</t>
  </si>
  <si>
    <t>Univ Nacl Comahue, Ctr Reg Univ Bariloche, Lab Fotobiol, RA-8400 San Carlos De Bariloche, Rio Negro, Argentina; Consejo Nacl Invest Cient &amp; Tecn, Buenos Aires, DF, Argentina; Comis Nacl Energia Atom, Dept Radiobiol, RA-1650 Buenos Aires, DF, Argentina; Univ Innsbruck, Dept Zool &amp; Limnol, A-6020 Innsbruck, Austria</t>
  </si>
  <si>
    <t>Universidad Nacional del Comahue; Consejo Nacional de Investigaciones Cientificas y Tecnicas (CONICET); Comision Nacional de Energia Atomica (CNEA); University of Innsbruck</t>
  </si>
  <si>
    <t>Univ Nacl Comahue, Ctr Reg Univ Bariloche, Lab Fotobiol, UP Univ, RA-8400 San Carlos De Bariloche, Rio Negro, Argentina.</t>
  </si>
  <si>
    <t>Sommaruga, Ruben/P-6626-2019; Sommaruga, Ruben/E-5335-2011</t>
  </si>
  <si>
    <t>Sommaruga, Ruben/0000-0002-1055-2461; Sommaruga, Ruben/0000-0002-1055-2461; Zagarese, Horacio/0000-0001-6588-5960; Pizarro, Ramon Augusto/0000-0003-0743-3864</t>
  </si>
  <si>
    <t>1939-5590</t>
  </si>
  <si>
    <t>10.4319/lo.2002.47.3.0829</t>
  </si>
  <si>
    <t>WOS:000175554700019</t>
  </si>
  <si>
    <t>George, AL</t>
  </si>
  <si>
    <t>Seasonal factors affecting surfactant biodegradation in Antarctic coastal waters: comparison of a polluted and pristine site</t>
  </si>
  <si>
    <t>Antarctica; anionic surfactant; marine pollution; biodegradation; cold</t>
  </si>
  <si>
    <t>SODIUM DODECYL-SULFATE; SOUTH-WALES RIVER; MARINE-ENVIRONMENT; PLANKTONIC BACTERIA; ANIONIC SURFACTANTS; ARCTIC SEDIMENTS; RESEARCH STATION; LOW-TEMPERATURE; RATES; PHYTOPLANKTON</t>
  </si>
  <si>
    <t>This report is the first seasonal study of anthropogenic pollutant biodegradation rates in Antarctic coastal waters. The capacity of surface waters from Rothera Research Station, Adelaide Island, Antarctica, to biodegrade the anionic surfactant sodium dodecyl sulphate (SDS) was quantified in biodegradation tests from April 1988 to January 1999. Large temporal differences in the persistence of SIDS were observed. In mid-winter (July), the SDS-biodegradation half life was twice that measured in mid-summer (January), despite small temperature differences (up to 2.45 degreesC). Comparisons between water from a pristine site and a site receiving grey-waste water from the station showed that some acclimation to SDS was occurring in the contaminated water. This resulted in SDS half lives up to similar to80 h shorter in the polluted water compared with the pristine site in the summer months when a large population of SDS-degrading bacteria had developed. Biodegradation half lives in Antarctic coastal waters (160-460 h) were generally far higher than those observed in temperate waters. (C) 2002 Elsevier Science Ltd. All rights reserved.</t>
  </si>
  <si>
    <t>George, AL (corresponding author), British Antarctic Survey, NERC, Madingley Rd, Cambridge CB3 0ET, England.</t>
  </si>
  <si>
    <t>PII S0141-1136(01)00127-1</t>
  </si>
  <si>
    <t>10.1016/S0141-1136(01)00127-1</t>
  </si>
  <si>
    <t>539HG</t>
  </si>
  <si>
    <t>WOS:000174864000004</t>
  </si>
  <si>
    <t>Ahn, IY; Kim, KW; Choi, HJ</t>
  </si>
  <si>
    <t>A baseline study on metal concentrations in the Antarctic limpet Nacella concinna (Gastropoda: Patellidae) on King George Island:: variations with sex and body parts</t>
  </si>
  <si>
    <t>MARINE POLLUTION BULLETIN</t>
  </si>
  <si>
    <t>OYSTER CRASSOSTREA-IRIDESCENS; HEAVY-METAL; LATERNULA-ELLIPTICA; LITTORINA-LITTOREA; TRACE-METALS; MAXWELL BAY; CONTAMINATION; CADMIUM; STREBEL; ACCUMULATION</t>
  </si>
  <si>
    <t>Korea Ocean Res &amp; Dev Inst, Polar Sci Lab, Seoul 425600, South Korea</t>
  </si>
  <si>
    <t>Korea Institute of Ocean Science &amp; Technology (KIOST)</t>
  </si>
  <si>
    <t>Korea Ocean Res &amp; Dev Inst, Polar Sci Lab, POB 29, Seoul 425600, South Korea.</t>
  </si>
  <si>
    <t>iahn@kordi.re.kr</t>
  </si>
  <si>
    <t>0025-326X</t>
  </si>
  <si>
    <t>1879-3363</t>
  </si>
  <si>
    <t>MAR POLLUT BULL</t>
  </si>
  <si>
    <t>Mar. Pollut. Bull.</t>
  </si>
  <si>
    <t>PII S0025-326X(01)00297-1</t>
  </si>
  <si>
    <t>10.1016/S0025-326X(01)00297-1</t>
  </si>
  <si>
    <t>Environmental Sciences; Marine &amp; Freshwater Biology</t>
  </si>
  <si>
    <t>Environmental Sciences &amp; Ecology; Marine &amp; Freshwater Biology</t>
  </si>
  <si>
    <t>570JF</t>
  </si>
  <si>
    <t>WOS:000176654600019</t>
  </si>
  <si>
    <t>Anisimov, MV; Ivanov, YA; Subbotina, MM</t>
  </si>
  <si>
    <t>Abyssal path of the global ocean conveyor</t>
  </si>
  <si>
    <t>OCEANOLOGY</t>
  </si>
  <si>
    <t>WORLD OCEAN</t>
  </si>
  <si>
    <t>The abyssal branch of the global ocean conveyor is constructed on the basis of calculations with the equation of admixture transport using the fields of current velocities obtained in a model of the global ocean circulation. The initial source with a rate of 10 Sv is located in the region of the Labrador Current (55degrees N). In the calculations of admixture transport, we found three additional sources of deep water to the path of the conveyor in the Northern Atlantic with rates of 3 Sv at 35degrees N, 2 Sv at 14degrees N, and 15 Sv at 4degrees N, and one outflow with a rate of 10 Sv at 32degrees S. As a result, 20 Sv of Atlantic deep water enter the Antarctic Circumpolar Current, of which 5 Sv enter the Indian Ocean and 15 Sv enter the Pacific Ocean. We present characteristic sections of temperature and salinity illustrating the transformation of deep water along the conveyor path.</t>
  </si>
  <si>
    <t>Russian Acad Sci, Shirshov Inst Oceanol, Moscow, Russia</t>
  </si>
  <si>
    <t>Russian Academy of Sciences; Shirshov Institute of Oceanology</t>
  </si>
  <si>
    <t>Anisimov, MV (corresponding author), Russian Acad Sci, Shirshov Inst Oceanol, Moscow, Russia.</t>
  </si>
  <si>
    <t>0001-4370</t>
  </si>
  <si>
    <t>OCEANOLOGY+</t>
  </si>
  <si>
    <t>Oceanology</t>
  </si>
  <si>
    <t>572BC</t>
  </si>
  <si>
    <t>WOS:000176752800001</t>
  </si>
  <si>
    <t>Shreider, AA; Shreider, AA</t>
  </si>
  <si>
    <t>Detailed chronology of the Southeast Indian Ridge in the Crozet Basin (Chrons C1-C18)</t>
  </si>
  <si>
    <t>OCEAN; EVOLUTION</t>
  </si>
  <si>
    <t>An analysis of the distribution of the instant relative spreading rates from a schematic of chrons C1-C18 compiled for the Southeast Indian Ridge in the Crozet Basin allows us to refine the features of the geodynamics of the Antarctic plate over the past 40 My. Regular spreading in the western part of the Southeast Indian Ridge started no earlier than 41.9 My BP. The southward movement of the Antarctic plate decelerated with time; it was accompanied by an accumulation of intraplate stresses. The evidence on Jumps of the ridge axis and incorporation of northern portions of the newly formed oceanic crust to the southern portions of the same age was found, which is reflected in the asymmetry of the spreading process on the flanks of the ridge.</t>
  </si>
  <si>
    <t>Russian Acad Sci, PP Shirshov Oceanol Inst, Moscow, Russia; Moscow MV Lomonosov State Univ, Geol Fac, Moscow, Russia</t>
  </si>
  <si>
    <t>Russian Academy of Sciences; Shirshov Institute of Oceanology; Lomonosov Moscow State University</t>
  </si>
  <si>
    <t>Russian Acad Sci, PP Shirshov Oceanol Inst, Moscow, Russia.</t>
  </si>
  <si>
    <t>1531-8508</t>
  </si>
  <si>
    <t>WOS:000176752800015</t>
  </si>
  <si>
    <t>Beardall, J; Heraud, P; Roberts, S; Shelly, K; Stojkovic, S</t>
  </si>
  <si>
    <t>Effects of UV-B radiation on inorganic carbon acquisition by the marine microalga Dunaliella tertiolecta (Chlorophyceae)</t>
  </si>
  <si>
    <t>PHYCOLOGIA</t>
  </si>
  <si>
    <t>OZONE DEPLETION; ANTARCTIC PHYTOPLANKTON; ULTRAVIOLET-RADIATION; FLUORESCENCE; NITROGEN; PHOTOSYNTHESIS; ACCUMULATION; DAMAGE; CYANOBACTERIUM; ACCLIMATION</t>
  </si>
  <si>
    <t>The chlorophyte alga Dunaliella tertiolecta was exposed to UV-B radiation (UVBR) and the characteristics of dissolved inorganic carbon (DIC)-dependent oxygen evolution, carbon fixation and CO-concentrating mechanism (CCM) activity were examined. Exposure response measurements were carried out under 2.8 W m(-2) UVBR (unweighted), and the maximum quantum yield of photosystem II (PSII). Phi(PSII-max), was monitored until cell Suspensions were similar to50% inhibited. Under these conditions, although photosystem II (PSII) activity was severely inhibited. photosystem I capacity decreased by only &lt; 15%. UVBR-treated cells exposed to (HCo3-)-Co-14 took up the same amount of label as did untreated cells, though the proportion fixed into organic matter decreased under UVBR and the internal DIC pool increased. The increase in internal DIC pools was paralleled by an increase in conductance for DIC, measured as the increase in the initial slope of oxygen evolution vs [DIC] plots. Thus, although carbon assimilation rates are inhibited by UVBR, CCM activity is unaffected. The ecological significance of these findings is discussed.</t>
  </si>
  <si>
    <t>Monash Univ, Sch Biol Sci, Clayton, Vic 3800, Australia</t>
  </si>
  <si>
    <t>Monash Univ, Sch Biol Sci, Clayton, Vic 3800, Australia.</t>
  </si>
  <si>
    <t>john.beardall@sci.monash.edu.au</t>
  </si>
  <si>
    <t>Beardall, John/A-1250-2008; Beardall, John/L-5262-2019</t>
  </si>
  <si>
    <t>Beardall, John/0000-0001-7684-446X; Beardall, John/0000-0001-7684-446X; Heraud, Philip/0000-0003-4377-9184</t>
  </si>
  <si>
    <t>0031-8884</t>
  </si>
  <si>
    <t>2330-2968</t>
  </si>
  <si>
    <t>Phycologia</t>
  </si>
  <si>
    <t>10.2216/i0031-8884-41-3-268.1</t>
  </si>
  <si>
    <t>569QR</t>
  </si>
  <si>
    <t>WOS:000176614000005</t>
  </si>
  <si>
    <t>Xavier, JC; Rodhouse, PG; Purves, MG; Daw, TM; Arata, J; Pilling, GM</t>
  </si>
  <si>
    <t>Distribution of cephalopods recorded in the diet of the Patagonian toothfish (Dissostichus eleginoides) around South Georgia</t>
  </si>
  <si>
    <t>DIOMEDEA-EXULANS; ALBATROSSES; SQUID; PREY; INFORMATION; PREDATORS; SEABIRDS; ISLAND; OCEAN; FISH</t>
  </si>
  <si>
    <t>The cephalopod component of the diet of Patagonian toothfish, Dissostichus eleginoides, around South Georgia was analysed from stomach contents collected between March and May 2000. Cephalopods occurred in 7% of D. eleginoides stomachs. A total of 363 cephalopod beaks were found, comprising 16 cephalopod species, of which 15 had not been previously recorded in the diet. Octopodid A (probably Pareledone turqueti) was the most important cephalopod species by number of lower beaks (36 beaks; 20.2% of the lower beaks) and Kondakovia longimana was the most important in terms of estimated mass (76% of the cephalopod component). When the cephalopod component of D. eleginoides was compared with other predators between March and May 2000, D. eleginoides fed more on octopods (25% of the lower beaks) than black-browed and grey-headed albatrosses (&lt;1% of the lower beaks). The low frequency of the squid Martialia hyadesi in the diet of D. eleginoides around South Georgia was M. hyadesi was not present in these waters in 2000 (probably due to migratory movements or reproduction failure), despite being a candidate for commercial exploitation. The presence of the squid Mesonychoteuthis hamiltoni in the diet of D. eleginoides and being caught by a longline hook whilst presumably feeding on D. eleginoides, may indicate that juveniles of Mesonychoteuthis hamiltoni are prey of D. eleginoides adults, and when Mesonychoteuthis hamiltoni reach a large size as adults, they become the predator.</t>
  </si>
  <si>
    <t>British Antarctic Survey, NERC, Cambridge CB3 0ET, England; Univ Cambridge, Dept Zool, Cambridge CB2 3EJ, England; MRAG Ltd, London SW7 2QA, England; Univ Valparaiso, Inst Oceanol, Vina Del Mar, Chile</t>
  </si>
  <si>
    <t>UK Research &amp; Innovation (UKRI); Natural Environment Research Council (NERC); NERC British Antarctic Survey; University of Cambridge; Universidad de Valparaiso</t>
  </si>
  <si>
    <t>JCCX@bas.ac.uk</t>
  </si>
  <si>
    <t>Xavier, José/KFB-6739-2024; Arata, Javier/U-9754-2017; Arata, Javier A./ABH-9557-2020</t>
  </si>
  <si>
    <t>Arata, Javier/0000-0001-7320-0511; /0000-0002-9621-6660; Daw, Tim M./0000-0001-6635-9153</t>
  </si>
  <si>
    <t>10.1007/s00300-001-0343-x</t>
  </si>
  <si>
    <t>552GJ</t>
  </si>
  <si>
    <t>WOS:000175611000001</t>
  </si>
  <si>
    <t>Morales-Nin, B; Palomera, I; Busquets, X</t>
  </si>
  <si>
    <t>A first attempt at determining larval growth in three Antarctic fish from otoliths and RNA/DNA ratios</t>
  </si>
  <si>
    <t>RNA-DNA RATIO; PLAICE PLEURONECTES-PLATESSA; NUTRITIONAL CONDITION; NORTH-SEA; GEORGIA; AGE</t>
  </si>
  <si>
    <t>Otolith growth and RNA/DNA ratios of larval stages of Notolepis coatsi, Gobionotothen gibberifrons and Trematomus scotti, three Antarctic fish, were studied during early 1998. RNA/DNA ratios were significantly different between the notothenioids and paralepidids (P &lt; 0.01), but similar among notothenioids (P &gt; 0.05). The ratios were independent of larval total length and water temperature. Recent otolith growth (based on the last five increments) and biochemical indices correlated slightly, but not significantly. N. coatsi inhabited deeper and colder waters of the Weddell Sea and showed less growth than the other species, which are associated with the Antarctic Peninsula. In all three species, some larvae had very good growth rates though most were rather poor. Recent growth indices might allow the detection and back-dating of growth changes in Antarctic larvae, and provide insight into a crucial yet poorly understood life-phase of these fish.</t>
  </si>
  <si>
    <t>UIB, CSIC, Inst Mediterrani Estudis Avancats, Esporles 07190, Spain; CSIC, Inst Ciencias Mar, E-08003 Barcelona, Spain; Hosp Son Dureta, Unitat Invest, Palma de Mallorca 07014, Spain</t>
  </si>
  <si>
    <t>Universitat de les Illes Balears; Consejo Superior de Investigaciones Cientificas (CSIC); ATTITUS Educacao; Consejo Superior de Investigaciones Cientificas (CSIC); CSIC - Centro Mediterraneo de Investigaciones Marinas y Ambientales (CMIMA); CSIC - Instituto de Ciencias del Mar (ICM); Hospital Universitari Son Espases; Hospital Universitari Son Dureta</t>
  </si>
  <si>
    <t>Morales-Nin, B (corresponding author), UIB, CSIC, Inst Mediterrani Estudis Avancats, Miguel Marques 21, Esporles 07190, Spain.</t>
  </si>
  <si>
    <t>; Busquets, Xavier/M-5574-2018; Palomera, Isabel/L-4769-2014</t>
  </si>
  <si>
    <t>Morales-Nin, Beatriz/0000-0002-7264-0918; Busquets, Xavier/0000-0003-1157-5590; Palomera, Isabel/0000-0001-5708-168X</t>
  </si>
  <si>
    <t>10.1007/s00300-001-0351-x</t>
  </si>
  <si>
    <t>WOS:000175611000006</t>
  </si>
  <si>
    <t>Puce, S; Cerrano, C; Bavestrello, G</t>
  </si>
  <si>
    <t>Eudendrium (Cnidaria, Anthomedusae) from the Antarctic Ocean with description of two new species</t>
  </si>
  <si>
    <t>The taxonomy of the genus Eudendrium was critically reviewed by Picard (in 1951), who introduced the type and disposition of the nematocysts as the most important character for species identification. Until now. all descriptions of Antarctic Eudendrium lacked an analysis of the cnidome, and the poor state of preservation of the specimens deposited in the museums often makes the description of this character impossible. Moreover, the gonophores were only known for a few species. This lack of data makes the taxonomic position of the greater part of Antarctic Eudendrium uncertain. In this paper. we report on three Antarctic species of the genus Eudendrium: Eudendrium scotti sp. nov. and E. generale von Lendenfeld, recorded from the material collected during the XV Italian Antarctic Expedition (1999-2000) at Terra Nova Bay, Ross Sea, and E. jaederholmi sp. nov., derived during the examination of material deposited at the Swedish Museum, classified as E. rameum by Jaderholm in 1905.</t>
  </si>
  <si>
    <t>Univ Genoa, Dipartimento Studi Territorio &amp; Risorse, I-16100 Genoa, Italy; Univ Ancona, Ist Sci Mare, I-60131 Ancona, Italy</t>
  </si>
  <si>
    <t>University of Genoa; Marche Polytechnic University</t>
  </si>
  <si>
    <t>Cerrano, C (corresponding author), Univ Genoa, Dipartimento Studi Territorio &amp; Risorse, Corso Europa 26, I-16100 Genoa, Italy.</t>
  </si>
  <si>
    <t>Cerrano, Carlo/AAF-3557-2019; Bavestrello, Giorgio/JXN-5230-2024</t>
  </si>
  <si>
    <t>Cerrano, Carlo/0000-0001-9580-5546;</t>
  </si>
  <si>
    <t>10.1007/s00300-001-0353-8</t>
  </si>
  <si>
    <t>WOS:000175611000007</t>
  </si>
  <si>
    <t>Auel, H; Harjes, M; da Rocha, R; Stübing, D; Hagen, W</t>
  </si>
  <si>
    <t>Lipid biomarkers indicate different ecological niches and trophic relationships of the Arctic hyperiid amphipods Themisto abyssorum and T-libellula</t>
  </si>
  <si>
    <t>FATTY-ACID-COMPOSITION; MARGINAL ICE-ZONE; ANTARCTIC KRILL; WAX ESTERS; FOOD-CHAIN; ALLE-ALLE; ZOOPLANKTON; DIET; SUMMER; TROPHODYNAMICS</t>
  </si>
  <si>
    <t>The hyperiid amphipods Themisto libellula and T. abyssorum are important components of Arctic pelagic ecosystems. Both species are carnivorous and prey on mesozooplankton. They represent a substantial food source for marine vertebrates and are a key link between zooplankton secondary production and higher trophic levels. We present data on the total lipid content, lipid class and fatty acid composition of T. libellula and T. abyssorum from northern Fram Strait and the central Arctic Ocean. Both species had moderate to high lipid contents of 14-42% of body dry mass. In T. abyssorum, total lipid content was correlated to body mass, while T. libellula showed sex-related differences in lipid content. Despite their smaller body size, females of T. libellula had higher lipid contents than males. Wax esters represented the major lipid class in both species with 41-43% of total lipid, while triacylglycerols contributed 23-32%. The fatty acid composition was dominated by the long-chain polyunsaturated moieties 20:5(n-3) and 22:6(n-3), short-chain saturated compounds (16:0 and 14:0) and monounsaturated fatty acids of varying length, i.e. 16:1(n-7), 20:1(n-9), 18:1(n-9) and 22:1(n-11). Species-specific and geographic variations in the fatty acid and alcohol patterns were apparently linked to differences in diet and life-cycle. High amounts of the fatty acids and alcohols 20:1(n-9) and 22:1(n-11) in T. libellula indicate predation on herbivorous Calanus copepodids. In addition. elevated levels of 20:5(n-3) in T. libellula indicate a close connection with ice-algal production and the importance of cryo-pelagic coupling processes (i.e. exchange processes between the sea ice and the pelagic communities) for the nutrition of this high-Arctic epipelagic species. In contrast, T. abyssorum is characterised by lower amounts of 20:5(n-3) and its biomarker ratios indicate a higher trophic level. This observation is consistent with the subarctic-boreal origin of T. abyssorum and its occurrence in deeper layers of the Arctic Ocean. where it may feed on omnivorous and/or carnivorous prey.</t>
  </si>
  <si>
    <t>Univ Bremen, D-28334 Bremen, Germany</t>
  </si>
  <si>
    <t>University of Bremen</t>
  </si>
  <si>
    <t>Univ Bremen, POB 330 440,FB 2, D-28334 Bremen, Germany.</t>
  </si>
  <si>
    <t>hauel@uni-bremen.de</t>
  </si>
  <si>
    <t>Hagen, Wilhelm/0000-0002-7462-9931; Stubing, Dorothea/0000-0003-1105-754X</t>
  </si>
  <si>
    <t>10.1007/s00300-001-0354-7</t>
  </si>
  <si>
    <t>WOS:000175611000008</t>
  </si>
  <si>
    <t>La Mesa, M; Vacchi, M; Iwami, T; Eastman, JT</t>
  </si>
  <si>
    <t>Taxonomic studies of the Antarctic icefish genus Cryodraco Dollo, 1900 (Notothenioidei: Channichthyidae)</t>
  </si>
  <si>
    <t>FISH FAUNA; EXPRESSION; MYOGLOBIN; SEA</t>
  </si>
  <si>
    <t>Based on a meristic and morphometric study of 101 specimens. we recognise 2 valid species in the Antarctic channichthyid genus Cryodraco: Cryodraco antarcticus Dollo, 1900 and C. atkinsoni Regan, 1914. Although the species overlap in most meristic and morphometric characters. we have distinguished several reliable characters for diagnosis and identification. Multidimensional scaling, a nonparametric multivariate technique, clearly separates the two species on the basis of pelvic fin length, head length, number of second dorsal fin rays and origin of the lower lateral line relative to the anal fin rays. We provide a revised identification key to the species of Cryodraco. From a zoogeographical point of view, C. antarcticus has a circum-Antarctic distribution whereas C. atkinsoni is largely confined to the East Antarctic Zoogeographic Province.</t>
  </si>
  <si>
    <t>CNR, Ist Ric Pesca Marittima, I-60125 Ancona, Italy; ICRAM, Ist Cent Ric Sci &amp; Tecnol Applicata Mare, I-00166 Rome, Italy; Tokyo Kasei Gakuin Univ, Machida, Tokyo 1940929, Japan; Ohio Univ, Coll Osteopath Med, Dept Biomed Sci, Athens, OH 45701 USA</t>
  </si>
  <si>
    <t>Consiglio Nazionale delle Ricerche (CNR); University System of Ohio; Ohio University</t>
  </si>
  <si>
    <t>La Mesa, M (corresponding author), CNR, Ist Ric Pesca Marittima, Largo Fiera Pesca, I-60125 Ancona, Italy.</t>
  </si>
  <si>
    <t>Eastman, Joseph T./O-6150-2019; Eastman, Joseph T/A-9786-2008</t>
  </si>
  <si>
    <t>Eastman, Joseph T./0000-0003-3868-261X;</t>
  </si>
  <si>
    <t>10.1007/s00300-002-0358-y</t>
  </si>
  <si>
    <t>WOS:000175611000009</t>
  </si>
  <si>
    <t>Eastman, JT; Barry, JP</t>
  </si>
  <si>
    <t>Underwater video observation of the Antarctic toothfish Dissostichus mawsoni (Perciformes: Nototheniidae) in the Ross Sea, Antarctica</t>
  </si>
  <si>
    <t>FISH; FAUNA</t>
  </si>
  <si>
    <t>A towed benthic camera system captured images of a ca. 66-cm-long Antarctic toothfish partially under a boulder at 76degrees30'S, 174degrees59'E (depth 454 m) in the southern Ross Sea. This is noteworthy because, excluding McMurdo Sound, there are only two published records for this species in the Ross Sea and none in an offshore locality. Adult Dissostichus mawsoni are neutrally buoyant and live and feed in the lower reaches of the water column. Benthic perching is unexpected, suggesting that this subadult is not neutrally buoyant.</t>
  </si>
  <si>
    <t>Ohio Univ, Dept Biomed Sci, Athens, OH 45701 USA; Monterey Bay Aquarium Res Inst, Moss Landing, CA 95039 USA</t>
  </si>
  <si>
    <t>University System of Ohio; Ohio University; Monterey Bay Aquarium Research Institute</t>
  </si>
  <si>
    <t>Eastman, JT (corresponding author), Ohio Univ, Dept Biomed Sci, Athens, OH 45701 USA.</t>
  </si>
  <si>
    <t>10.1007/s00300-002-0359-x</t>
  </si>
  <si>
    <t>WOS:000175611000010</t>
  </si>
  <si>
    <t>Stoner, JS; Laj, C; Channell, JET; Kissel, C</t>
  </si>
  <si>
    <t>South Atlantic and North Atlantic geomagnetic paleointensity stacks (0-80 ka): implications for inter-hemispheric correlation</t>
  </si>
  <si>
    <t>QUATERNARY SCIENCE REVIEWS</t>
  </si>
  <si>
    <t>LAST GLACIAL PERIOD; GRIP ICE CORE; LABRADOR-SEA; CLIMATE RECORDS; ANTARCTIC ICE; RAPID CHANGES; NORDIC SEAS; OCEAN; CHRONOSTRATIGRAPHY; SEDIMENTS</t>
  </si>
  <si>
    <t>Recent coring of high-deposition-rate Atlantic sediments has led to the development of North Atlantic (NAPIS) and South Atlantic (SAPIS) geomagnetic paleointensity stacks. The SAPIS stack comprises five records from the sub-Antarctic South Atlantic (41-47degreesS, 6-10degreesE). Four are from piston cores collected during the Ocean Drilling Program (ODP) Leg 177 site survey cruise (Earth Planet. Sci. Lett. 175 (2000) 145). The other is ODP Site 1089 (Leg 177) (J. Geophys. Res., 2001, submitted for publication). All but one (4-PC03) of the SAPIS cores have oxygen isotope records which are used in conjunction with lithologic and geomagnetic variability to derive an optimized correlation to Site 1089. The Site 1089 age model is derived by mapping the benthic and planktic isotope data to those from nearby core RC11-83 which has 14 calibrated radiocarbon ages in the 11-41 ka interval. Below this level, the chronology is derived by matching the Site 1089 benthic oxygen isotope data to the SPECMAP stack. The NAPIS stack comprises six records from a wide area of the North Atlantic (Philos. Trans. R. Soc. Ser. A 358 (2000) 1009). Correlation between cores was based on marine isotopic stage boundaries, augmented by millennial-scale features (Heinrich events and fluctuations in concentration-dependent magnetic parameters). NAPIS was placed on the GISP2 chronology, using the marine to ice-core oxygen isotope correlation proposed by Voelker et al. (Radiocarbon 40 (1998) 517) for one of the NAPIS cores. In the resulting age model, the Laschamp Event, recorded in five of six cores, falls in a very narrow (&lt; 1 kyr) age range and coincides with the Be-10 and Cl-36 peak measured in the ice cores. Comparison of the two stacks, placed on their own independent age models, indicates that common millennial scale paleointensity features are preserved. Although more work is needed to define the true global content of the paleointensity record as well as the precise age of many features, it is readily apparent that paleointensity can provide a global correlation tool at a resolution unattainable from isotope data alone. (C) 2002 Published by Elsevier Science Ltd.</t>
  </si>
  <si>
    <t>Univ Calif Davis, Dept Geol, Davis, CA 95616 USA; Lab Sci Climat &amp; Environm, F-91198 Gif Sur Yvette, France; Univ Florida, Dept Geol Sci, Gainesville, FL 32611 USA</t>
  </si>
  <si>
    <t>University of California System; University of California Davis; CEA; Centre National de la Recherche Scientifique (CNRS); Universite Paris Saclay; State University System of Florida; University of Florida</t>
  </si>
  <si>
    <t>Stoner, JS (corresponding author), Univ Colorado, Inst Arctic &amp; Alpine Res, Boulder, CO 80309 USA.</t>
  </si>
  <si>
    <t>Catherine, Kissel/AAH-1647-2019</t>
  </si>
  <si>
    <t>Catherine, Kissel/0000-0002-2572-2742</t>
  </si>
  <si>
    <t>0277-3791</t>
  </si>
  <si>
    <t>QUATERNARY SCI REV</t>
  </si>
  <si>
    <t>Quat. Sci. Rev.</t>
  </si>
  <si>
    <t>PII S0277-3791(01)00136-6</t>
  </si>
  <si>
    <t>10.1016/S0277-3791(01)00136-6</t>
  </si>
  <si>
    <t>555DD</t>
  </si>
  <si>
    <t>WOS:000175777400003</t>
  </si>
  <si>
    <t>Pavelyev, A; Igarashi, K; Reigber, C; Hocke, K; Wickert, J; Beyerle, G; Matyugov, S; Kucherjavenkov, A; Pavelyev, D; Yakovlev, O</t>
  </si>
  <si>
    <t>First application of the radioholographic method to wave observations in the upper atmosphere</t>
  </si>
  <si>
    <t>RADIO SCIENCE</t>
  </si>
  <si>
    <t>radioholography; radio waves; propagation; radio occultation; atmosphere; ionosphere</t>
  </si>
  <si>
    <t>RADIO OCCULTATION DATA; EARTHS ATMOSPHERE; VERTICAL RESOLUTION; VALIDATION; INVERSION; PROFILES</t>
  </si>
  <si>
    <t>[1] Wave phenomena in the upper atmosphere can be studied using the high-precision Global Positioning System (GPS) radio navigational field. In this paper, basic principles, accuracy, and vertical resolution of the radioholographic technique for studies of ionospheric wave phenomena are presented for the general case when the orbits of the satellites are arbitrary. Results of testing of the radioholographic method are discussed using orbital station MIR and geostationary satellites (MIR/GEO) and GPS/Meteorology (GPS/MET) radio occultation data. The radioholographic method has high vertical (12-30 m) and angular (4-8 murad) resolution, which has been validated by directly observing multibeam propagation in the atmosphere and revealing signals, reflected from the sea, in GPS/MET and MIR/GEO radio occultation data. We show that this method allows one to determine the vertical profile of the electron density and monitoring wave structures in the upper atmosphere. As an example of this approach, observations of the summer Antarctic mesosphere on 7 February 1997 are presented. We show, by combining phase and amplitude analysis, that a vertical resolution of 0.3-0.5 km reveals wavelike structures with spatial periods from 1-2 km to 8-10 km in the vertical electron density distribution in the D and E regions. Variations in the gradient of the electron density from +/-5 x 10(3) to +/-8 x 10(3) el/(cm(3) km) at altitudes of 72-95 km were observed. The obtained results demonstrate the high-technology level of the radioholography approach and open new perspectives for radio occultation experiments: measurements of the characteristics of the natural processes in the atmosphere, mesosphere, and ionosphere and observations of the state of the sea surface by measuring parameters of reflected signal simultaneously with radio occultation experiments.</t>
  </si>
  <si>
    <t>Russian Acad Sci, Inst Radio Engn &amp; Elect, Fryazino 141191, Russia; Minist Posts &amp; Telecommun, Commun Res Lab, Koganei, Tokyo 1848795, Japan; Geoforschungszentrum Potsdam, D-14473 Potsdam, Germany</t>
  </si>
  <si>
    <t>Kotelnikov Institute of Radioengineering &amp; Electronics; Russian Academy of Sciences; National Institute of Information &amp; Communications Technology (NICT) - Japan; Helmholtz Association; Helmholtz-Center Potsdam GFZ German Research Center for Geosciences</t>
  </si>
  <si>
    <t>Pavelyev, A (corresponding author), Russian Acad Sci, Inst Radio Engn &amp; Elect, 1 Vvedenskogo Sq, Fryazino 141191, Russia.</t>
  </si>
  <si>
    <t>pvlv@ms.ire.rssi.ru; igarashi@crl.go.jp; reigber@gfz-potsdam.de</t>
  </si>
  <si>
    <t>Beyerle, Georg/AAE-9085-2020; Wickert, Jens/A-7257-2013; , Дмитрий/AAD-4178-2022; Pavelyev, Alexey/AAD-4139-2022</t>
  </si>
  <si>
    <t>Beyerle, Georg/0000-0003-1215-2418; , Дмитрий/0000-0002-7121-1089; Pavelyev, Alexey/0000-0003-3455-6544</t>
  </si>
  <si>
    <t>0048-6604</t>
  </si>
  <si>
    <t>1944-799X</t>
  </si>
  <si>
    <t>RADIO SCI</t>
  </si>
  <si>
    <t>Radio Sci.</t>
  </si>
  <si>
    <t>10.1029/2000RS002501</t>
  </si>
  <si>
    <t>Astronomy &amp; Astrophysics; Geochemistry &amp; Geophysics; Meteorology &amp; Atmospheric Sciences; Remote Sensing; Telecommunications</t>
  </si>
  <si>
    <t>610ER</t>
  </si>
  <si>
    <t>WOS:000178948200005</t>
  </si>
  <si>
    <t>Antarctic research programme also in need of rescue</t>
  </si>
  <si>
    <t>SOUTH AFRICAN JOURNAL OF SCIENCE</t>
  </si>
  <si>
    <t>ACAD SCIENCE SOUTH AFRICA A S S AF</t>
  </si>
  <si>
    <t>LYNWOOD RIDGE</t>
  </si>
  <si>
    <t>PO BOX 72135, LYNWOOD RIDGE 0040, SOUTH AFRICA</t>
  </si>
  <si>
    <t>0038-2353</t>
  </si>
  <si>
    <t>1996-7489</t>
  </si>
  <si>
    <t>S AFR J SCI</t>
  </si>
  <si>
    <t>S. Afr. J. Sci.</t>
  </si>
  <si>
    <t>5-6</t>
  </si>
  <si>
    <t>584XY</t>
  </si>
  <si>
    <t>WOS:000177495100001</t>
  </si>
  <si>
    <t>Mravlag, E</t>
  </si>
  <si>
    <t>Radar backscatter signals and weather at SANAE, Antarctica</t>
  </si>
  <si>
    <t>LATITUDE</t>
  </si>
  <si>
    <t>During heavy snow storms, the backscatter signal of the high-frequency ionospheric radar at the South African Antarctic base SANAE is observed to break up into a characteristic speckle pattern, indicating that the coherence of the, backscatter has been lost. This phenomenon has also been a feature of the backscatter signals of other ionospheric radars in Antarctica. Radar and weather data from two Antarctic stations, SANAE and Syowa, have been used to investigate the possible effect of weather on the radar backscatter. Explanations for the observations are proposed.</t>
  </si>
  <si>
    <t>Univ Natal, Space Phys Res Inst, ZA-4041 Durban, South Africa</t>
  </si>
  <si>
    <t>Mravlag, E (corresponding author), Univ Natal, Space Phys Res Inst, ZA-4041 Durban, South Africa.</t>
  </si>
  <si>
    <t>WOS:000177495100016</t>
  </si>
  <si>
    <t>Corner, B; Benadie, A</t>
  </si>
  <si>
    <t>Ground geomagnetic surveys conducted at Vesleskarvet, Antarctica</t>
  </si>
  <si>
    <t>Geophysical surveys, reported here, confirmed that the new Antarctic base, SANAE IV, is suitable for conducting geomagnetic observations.</t>
  </si>
  <si>
    <t>Potchefstroom Univ Christian Higher Educ, Sch Phys, ZA-2520 Potchefstroom, South Africa; Corner Geophys Namibia, Swakopmund, Namibia</t>
  </si>
  <si>
    <t>North West University - South Africa</t>
  </si>
  <si>
    <t>Benadie, A (corresponding author), Potchefstroom Univ Christian Higher Educ, Sch Phys, ZA-2520 Potchefstroom, South Africa.</t>
  </si>
  <si>
    <t>WOS:000177495100018</t>
  </si>
  <si>
    <t>Wilson, A; Stoker, PH; Mathews, MJ</t>
  </si>
  <si>
    <t>The 64-beam imaging riometer array on Vesleskarvet, Antarctica. 1, Evaluation of the viewing directions</t>
  </si>
  <si>
    <t>CONTINUUM</t>
  </si>
  <si>
    <t>A 64-beam imaging riometer was constructed in the summer of 1996/97 at the new South African Antarctic base, SANAE IV on Vesleskarvet, to study the temporal and spatial variations in enhanced ionospheric ionization. These variations are deduced from the absorption of cosmic radio wave noise as recorded by the riometer, using theoretically derived beam directivities. These directivities had first to be validated. The validation studies reported in this paper include the convolution of a known radio sky map with the antenna beam directivities during a 24-hour rotation of the Earth. The resulting diurnal variation curves compared well with quiet day variation in cosmic radio noise as recorded by the beams of the riometer. Although the instrument functions as a low-resolution radio telescope, the celestial map of the sky constructed from the riometer beam signals showed the same features as existing radio maps. Some of the crossed-dipole elements of the antenna array were lost during storms. The quiet day curves recorded in the 64 beam directions demonstrated, however, that the theoretically calculated directivities may still be used to study spatial absorption phenomena even when the riometer operated with only 46 antennas.</t>
  </si>
  <si>
    <t>Potchefstroom Univ Christian Higher Educ, Sch Phys, Space Res Unit, ZA-2520 Potchefstroom, South Africa</t>
  </si>
  <si>
    <t>Stoker, PH (corresponding author), Potchefstroom Univ Christian Higher Educ, Sch Phys, Space Res Unit, ZA-2520 Potchefstroom, South Africa.</t>
  </si>
  <si>
    <t>WOS:000177495100022</t>
  </si>
  <si>
    <t>Benadie, A; Stassen, H; Stoker, PH</t>
  </si>
  <si>
    <t>The 64-beam imaging riometer antenna array on Vesleskarvet, Antarctica. 2, Construction of a storm-resistant antenna array</t>
  </si>
  <si>
    <t>An 8 x 8 array of 64 crossed-dipole antennas of an imaging riometer was erected at the new South African Antarctic base, SANAE IV, during the summer of 1996/97. Severe storms in subsequent years damaged several elements of the array, which requires constant maintenance and repairs. The 35.34 x 35.34 m wire grid of the ground plane, which was mounted horizontally above the slightly inclined snow level, resulted in considerable snow build-up on the leeward side in the direction of the SANAE IV base. During 1999, the accumulated snow covered about one quarter of the grid area and deformed the wire grid and with it the antenna array, to such an extent that it no longer functioned properly. This paper reports on the salient details of a new imaging riometer antenna array erected during the 1999/2000 summer season at the base.</t>
  </si>
  <si>
    <t>Potchefstroom Univ Christian Higher Educ, Sch Phys, Space Res Unit, ZA-2520 Potchefstroom, South Africa; Endecon Centurion, ZA-0014 Clubview, South Africa</t>
  </si>
  <si>
    <t>WOS:000177495100023</t>
  </si>
  <si>
    <t>Poulin, E; Palma, AT; Féral, JP</t>
  </si>
  <si>
    <t>Evolutionary versus ecological success in Antarctic benthic invertebrates</t>
  </si>
  <si>
    <t>TRENDS IN ECOLOGY &amp; EVOLUTION</t>
  </si>
  <si>
    <t>WEDDELL SEA; SIGNY ISLAND; LIFE-CYCLES; REPRODUCTION; ASSOCIATIONS; COMMUNITY; MOLLUSKS; MODES; ICE</t>
  </si>
  <si>
    <t>The unusually high proportion of brooding compared with broadcaster species among coastal Antarctic invertebrates has been traditionally interpreted as an adaptation to local environmental conditions. However, species with a planktotrophic developmental mode are ecologically dominant (in terms of abundance of individuals) along Antarctic coastal areas. Therefore, is the apparent ecological success of broadcasters related to their developmental mode? We argue that the present shallow Antarctic benthic invertebrate fauna is the result of two processes acting at different temporal scales. First, the high proportion of brooding species compared with coastal communities elsewhere corresponds to species-level selection occurring over geological and evolutionary times. Second, the ecological dominance of broadcasters is the result of processes operating at ecological timescales that are associated with the advantage of having pelagic larvae under highly disturbed conditions.</t>
  </si>
  <si>
    <t>Catholic Univ Chile, Ctr Adv Studies Ecol &amp; Biodiversity, Dept Ecol, Santiago, Chile; Univ Catolica Santisima, Ctr Adv Studies Ecol &amp; Biodivers, Dept Ecol Costera, Concepcion, Chile; Observ Oceanol, UMR 7628, F-66651 Banyuls sur Mer, France</t>
  </si>
  <si>
    <t>Pontificia Universidad Catolica de Chile; Universidad Catolica de la Santisima Concepcion; Sorbonne Universite</t>
  </si>
  <si>
    <t>Poulin, E (corresponding author), Catholic Univ Chile, Ctr Adv Studies Ecol &amp; Biodiversity, Dept Ecol, Alameda 340,Casilla 114-D, Santiago, Chile.</t>
  </si>
  <si>
    <t>Poulin, Elie/C-2654-2012; FERAL, Jean-Pierre/A-8199-2008; FERAL, Jean-Pierre/M-9608-2019; Feral, Jean-Pierre/C-8368-2012</t>
  </si>
  <si>
    <t>Poulin, Elie/0000-0001-7736-0969; FERAL, Jean-Pierre/0000-0001-7627-0160; FERAL, Jean-Pierre/0000-0001-7627-0160;</t>
  </si>
  <si>
    <t>ELSEVIER SCIENCE LONDON</t>
  </si>
  <si>
    <t>0169-5347</t>
  </si>
  <si>
    <t>TRENDS ECOL EVOL</t>
  </si>
  <si>
    <t>Trends Ecol. Evol.</t>
  </si>
  <si>
    <t>PII S0169-5347(01)02443-0</t>
  </si>
  <si>
    <t>10.1016/S0169-5347(02)02493-X</t>
  </si>
  <si>
    <t>Ecology; Evolutionary Biology; Genetics &amp; Heredity</t>
  </si>
  <si>
    <t>Environmental Sciences &amp; Ecology; Evolutionary Biology; Genetics &amp; Heredity</t>
  </si>
  <si>
    <t>542BU</t>
  </si>
  <si>
    <t>WOS:000175024300011</t>
  </si>
  <si>
    <t>Ryan, KG; McMinn, A; Mitchell, KA; Trenerry, L</t>
  </si>
  <si>
    <t>Mycosporine-like amino acids in antarctic sea ice algae, and their response to UVB radiation</t>
  </si>
  <si>
    <t>ZEITSCHRIFT FUR NATURFORSCHUNG C-A JOURNAL OF BIOSCIENCES</t>
  </si>
  <si>
    <t>mycosporine-like amino acids; UVB; sea ice algae</t>
  </si>
  <si>
    <t>ULTRAVIOLET-RADIATION; ABSORBING COMPOUNDS; MARINE-PHYTOPLANKTON; CYANOBACTERIA; PHOTOINDUCTION; SUNSCREENS; MICROALGAE; INHIBITION; ORGANISMS; DIATOMS</t>
  </si>
  <si>
    <t>Mycosporine like amino acids (MAAs) were detected in low concentration in sea ice algae growing in situ at Cape Evans, Antarctica. Four areas of sea ice were covered with plastics of different UV absorption exposing the bottom- ice algal community to a range of UV doses for a period of 15 days. Algae were exposed to visible radiation only; visible + UV radiation; and visible + enhanced UV radiation. MAA content per cell at the start of the experiment was low in snow-covered plots but higher in samples from ice with no snow cover. During the study period, the MAA content per cell reduced in all treatments, but the rate of this decline was less under both ambient UV and visible radiation than under snow covered plots. While low doses of UVB radiation may have stimulated some MAA production (or at least slowed its loss), relatively high doses of UVB radiation resulted in almost complete loss of MAAs from ice algal cells. Despite this reduction in MAA content per cell, the diatoms in all samples grew well, and there was no discernible effect on viability. This suggests that MAAs may play a minor role as photoprotectants in sea ice algae. The unique structure of the bottom ice algal community may provide a self-shading effect such that algal cells closest to the surface of the ice contain more MAAs than those below them and confer a degree of protection on the community as a whole.</t>
  </si>
  <si>
    <t>Ind Res Ltd, Lower Hutt, New Zealand; Univ Tasmania, Inst Antarctic &amp; So Ocean Studies, Hobart, Tas 7001, Australia</t>
  </si>
  <si>
    <t>Callaghan Innovation; University of Tasmania</t>
  </si>
  <si>
    <t>Ryan, KG (corresponding author), Ind Res Ltd, POB 31 310, Lower Hutt, New Zealand.</t>
  </si>
  <si>
    <t>McMinn, Andrew/A-9910-2008; Ryan, Ken/F-5652-2013</t>
  </si>
  <si>
    <t>Ryan, Ken/0000-0001-7075-0112</t>
  </si>
  <si>
    <t>VERLAG Z NATURFORSCH</t>
  </si>
  <si>
    <t>TUBINGEN</t>
  </si>
  <si>
    <t>POSTFACH 2645, W-7400 TUBINGEN, GERMANY</t>
  </si>
  <si>
    <t>0939-5075</t>
  </si>
  <si>
    <t>Z NATURFORSCH C</t>
  </si>
  <si>
    <t>Z.Naturforsch.(C)</t>
  </si>
  <si>
    <t>Biochemistry &amp; Molecular Biology; Pharmacology &amp; Pharmacy</t>
  </si>
  <si>
    <t>577QY</t>
  </si>
  <si>
    <t>WOS:000177074200012</t>
  </si>
  <si>
    <t>Van Orman, JA; Grove, TL; Shimizu, N</t>
  </si>
  <si>
    <t>Diffusive fractionation of trace elements during production and transport of melt in Earth's upper mantle</t>
  </si>
  <si>
    <t>mantle; melting; equilibrium; diffusion; rare earths; igneous processes</t>
  </si>
  <si>
    <t>GRAIN-BOUNDARY DIFFUSION; MIDOCEAN RIDGE BASALTS; PRIMARY MAGMAS; MODEL; DISEQUILIBRIUM; MIGRATION; PRESSURE; CLINOPYROXENE; TRANSITION; PERIDOTITE</t>
  </si>
  <si>
    <t>We have developed a numerical model to investigate the importance of diffusive chemical fractionation during production and transport of melt in Earth's upper mantle. The model incorporates new experimental data on the diffusion rates of rare earth elements (REE) in high-Ca pyroxene [Van Orman et al.. Contrib. Mineral, Petrol. 141 (2001) 687-703] and pyrope garnet [Van Orman et al.. Contrib. Mineral. Petrol.. in press]. including the dependence of diffusivity on temperature. pressure and ionic radius. We find that diffusion exerts an important control on REE fractionation under conditions typical of melting beneath slow spreading centers. provided that grain radii are similar to0.5 mm or greater. When partitioning is diffusion-limited, REE are fractionated less efficiently than under equilibrium conditions. and this effect becomes more pronounced as the melting rate, grain size, and efficiency of melt segregation increase. Data for the light REE in abyssal peridotite clinopyroxene (cpx) grains from the slow spreading America-Antarctic and Southwest Indian ridge systems are better explained by melting models that allow for diffusive exchange than by models that assume complete solid-melt equilibration. The data are best Fit by models in which the initial cpx grain radii are similar to2-3 mm and melt extraction is very efficient (near fractional). Diffusion is likely to play a strong role in REE Fractionation during intergranular melt transport in the upper mantle. Complete equilibrium between solid and melt requires very sluggish melt transport. with ascent rates on the order of a few centimeters per year. Complete disequilibrium, on the other hand. requires rapid transport ( &gt; 30 in yr (1)) through a permeable network with channel spacing considerably larger than the grain size. Diffusive fractionation during percolation through depleted spinel peridotite can lead to a wide variety of REE patterns in the melt. depending on the porosity and channel spacing of the melt network. These include ultra-depleted patterns when the porosity is very small ( &lt; 0.005 for an intergranular network with 2 mm grain radii) and patterns of relative LREE enrichment at moderate porosity (0.02-0.03). (C) 2002 Elsevier Science B.V. All rights reserved.</t>
  </si>
  <si>
    <t>Woods Hole Oceanog Inst, Dept Geol &amp; Geophys, Woods Hole, MA 02543 USA; MIT, Dept Earth Atmospher &amp; Planetary Sci, Cambridge, MA 02139 USA; Carnegie Inst Washington, Geophys Lab, Washington, DC 20015 USA</t>
  </si>
  <si>
    <t>Woods Hole Oceanographic Institution; Massachusetts Institute of Technology (MIT); Carnegie Institution for Science</t>
  </si>
  <si>
    <t>Van Orman, JA (corresponding author), Carnegie Inst Washington, Geophys Lab, Washington, DC 20015 USA.</t>
  </si>
  <si>
    <t>j.van_orman@gl.ciw.edu</t>
  </si>
  <si>
    <t>Grove, Timothy L/M-9638-2013</t>
  </si>
  <si>
    <t>Van Orman, James/0000-0001-8741-0288</t>
  </si>
  <si>
    <t>APR 30</t>
  </si>
  <si>
    <t>PII S0012-821X(02)00492-2</t>
  </si>
  <si>
    <t>10.1016/S0012-821X(02)00492-2</t>
  </si>
  <si>
    <t>554JY</t>
  </si>
  <si>
    <t>WOS:000175733300008</t>
  </si>
  <si>
    <t>Geibert, W; van der Loeff, MMR; Hanfland, C; Dauelsberg, HJ</t>
  </si>
  <si>
    <t>Actinium-227 as a deep-sea tracer: sources, distribution and applications</t>
  </si>
  <si>
    <t>actinium; deep upwelling; mixing; ocean currents</t>
  </si>
  <si>
    <t>WINTER MIXED LAYER; SOUTHERN-OCEAN; WEDDELL-GYRE; ATMOSPHERIC CO2; SURFACE-LAYER; PACIFIC-OCEAN; PA-231; TH-230; WATER; THORIUM</t>
  </si>
  <si>
    <t>Actinium is one of the rarest naturally occurring elements on earth. We measured its longest-lived isotope Ac-227 (half-life 21.77 yr) for the first time in the water column of the Southeast Pacific, the Central Arctic, the Antarctic Circumpolar Current (ACC) and the Weddell Gyre (WG). Besides the profile in the Southeast Pacific, which confirms earlier findings about the role of diapyenal mixing for Ac-227 distribution, we found three other different types of vertical profiles, These profiles point to a prominent role of advection for Ac-227 distribution, especially in the Southern Ocean. Depending on the type of profile found, Ac-227 is proposed as a tracer for different oceanographic questions. In the Southern Ocean, up to 4.93+/-0.32 dpm m(-3) Ac-227 is found close to the sea floor, which is the highest concentration ever observed in the ocean. Close to the sea Surface in the WG. 0.46+/-0.05 dpm m(-3) Ac-227(ex) (Ac-227 in excess of its progenitor Pa-231) is detected. We use Ac-227(ex) there to determine the upwelling velocity in the Eastern WG to be about 55 m yr(-1), In the ACC. Upper and Lower Circumpolar Deep Water (UCDW and LCDW) are found to differ clearly in their Ac-227(ex) activity. High Ac-227(ex) activities are therefore a promising tracer for recent inputs of LCDW to the sea surface, which may help to understand the role of deep upwelling for iron inputs into Antarctic surface waters. The expected release of Ac-227 is compared with Ra-228 to make sure that the large near-surface excess in the water column of the Southern Ocean is not due to lateral inputs by isopyenal mixing. Data from the Central Arctic and from a transect across the ACC confirm that Ra-228 and Ac-227(ex) differ strongly in their sources. The first measurements of Ac-227 on Suspended matter (less than 1.7% of total Ac-227 close to the sea floor) indicate that the particle reactivity of Ac-227 is negligible in the open ocean, in agreement with earlier findings [Y. Nozaki, Nature 310 (1984) 486-488]. Despite the extremely low concentrations of Ac-227, new measurement techniques [W.S. Moore, R. Arnold. J. Geophys. Res. 101 (1996) 1321-1329] point to a comfortable and comparably simple determination of Ac-227 in the future. Finally, Ac-227(ex) may become a widely used deep-sea specific tracer. (C) 2002 Elsevier Science B.V. All rights reserved.</t>
  </si>
  <si>
    <t>Alfred Wegener Inst Polar &amp; Marine Res, D-27570 Bremerhaven, Germany</t>
  </si>
  <si>
    <t>Geibert, W (corresponding author), Alfred Wegener Inst Polar &amp; Marine Res, Handelshafen 12, D-27570 Bremerhaven, Germany.</t>
  </si>
  <si>
    <t>Geibert, Walter/C-3722-2011; Geibert, Walter/ABA-9785-2020</t>
  </si>
  <si>
    <t>Geibert, Walter/0000-0001-8646-2334; Rutgers van der Loeff, Michiel/0000-0003-1393-3742</t>
  </si>
  <si>
    <t>PII S0012-821X(02)00512-5</t>
  </si>
  <si>
    <t>10.1016/S0012-821X(02)00512-5</t>
  </si>
  <si>
    <t>WOS:000175733300011</t>
  </si>
  <si>
    <t>Powell, RL</t>
  </si>
  <si>
    <t>CFC phase-out: have we met the challenge?</t>
  </si>
  <si>
    <t>JOURNAL OF FLUORINE CHEMISTRY</t>
  </si>
  <si>
    <t>13th European Symposium on Fluorine Chemistry (ESFC-13)</t>
  </si>
  <si>
    <t>JUL 15-20, 2001</t>
  </si>
  <si>
    <t>BORDEAUX, FRANCE</t>
  </si>
  <si>
    <t>chlorofluorocarbon; hydrochlorofluorocarbon; hydrofluorocarbon; refrigerant; Montreal Protocol; ozone depletion; global warming; trifluoroacetate</t>
  </si>
  <si>
    <t>In 1974 Nobel prize winners Rowland and Molina proposed that chlorofluorocarbons (CFCs) were stable enough to reach the stratosphere, where, under intense solar radiation they released Cl atoms that could destroy stratospheric ozone protecting the earth's surface from UV rays, The CFC industry funded both scientific studies to test the Rowland and Molina hypothesis and programmes to identify potential replacements, front which the HFCs emerged as likely candidates. After 5 years it was concluded. on the best scientific evidence available, that stratospheric ozone was being depleted at similar to3% per decade, but sufficient time was available for an orderly phase-out. Although the USA and a few other countries stopped the use of CFCs in aerosols little further work was done until 1985 when the CFC debate was renewed following the discovery of stratospheric ozone depletion over the Antarctic during its spring. Manufacturers restarted their RD programmes; governments negotiated the Montreal Protocol in 1987 agreeing the partial phase-out of the CFCs. As a result of subsequent amendments CFCs have now been phased-out in the developed world and HCFCs will follow over the next two decades. This paper reviews What has been achieved and what remains to be done. Has the world-Aide effort been successful in protecting the ozone layer? Have acceptable alternatives been found for the CFCs/HCFCs in their various applications? (C) 2002 Published by Elsevier Science B.V.</t>
  </si>
  <si>
    <t>Univ Manchester, Manchester M60 1QD, Lancs, England</t>
  </si>
  <si>
    <t>University of Manchester</t>
  </si>
  <si>
    <t>Univ Manchester, POB 88, Manchester M60 1QD, Lancs, England.</t>
  </si>
  <si>
    <t>dick@powell10055.freeserve.co.uk</t>
  </si>
  <si>
    <t>ELSEVIER SCIENCE SA</t>
  </si>
  <si>
    <t>LAUSANNE</t>
  </si>
  <si>
    <t>PO BOX 564, 1001 LAUSANNE, SWITZERLAND</t>
  </si>
  <si>
    <t>0022-1139</t>
  </si>
  <si>
    <t>1873-3328</t>
  </si>
  <si>
    <t>J FLUORINE CHEM</t>
  </si>
  <si>
    <t>J. Fluor. Chem.</t>
  </si>
  <si>
    <t>APR 28</t>
  </si>
  <si>
    <t>PII S0022-1139(02)00030-1</t>
  </si>
  <si>
    <t>10.1016/S0022-1139(02)00030-1</t>
  </si>
  <si>
    <t>Chemistry, Inorganic &amp; Nuclear; Chemistry, Organic</t>
  </si>
  <si>
    <t>557DQ</t>
  </si>
  <si>
    <t>WOS:000175892800021</t>
  </si>
  <si>
    <t>Barnes, DKA</t>
  </si>
  <si>
    <t>Biodiversity - Invasions by marine life on plastic debris</t>
  </si>
  <si>
    <t>NATURE</t>
  </si>
  <si>
    <t>DISPERSAL; ISLAND</t>
  </si>
  <si>
    <t>British Antarctic Survey, Nat Environm Res Council, Cambridge CB3 OET, England; Univ Coll Cork, Dept Zool &amp; Anim Ecol, Cork, Ireland</t>
  </si>
  <si>
    <t>UK Research &amp; Innovation (UKRI); Natural Environment Research Council (NERC); NERC British Antarctic Survey; University College Cork</t>
  </si>
  <si>
    <t>British Antarctic Survey, Nat Environm Res Council, High Cross,Madingley Rd, Cambridge CB3 OET, England.</t>
  </si>
  <si>
    <t>dkab@bas.ac.uk</t>
  </si>
  <si>
    <t>NATURE PUBLISHING GROUP</t>
  </si>
  <si>
    <t>MACMILLAN BUILDING, 4 CRINAN ST, LONDON N1 9XW, ENGLAND</t>
  </si>
  <si>
    <t>0028-0836</t>
  </si>
  <si>
    <t>1476-4687</t>
  </si>
  <si>
    <t>Nature</t>
  </si>
  <si>
    <t>APR 25</t>
  </si>
  <si>
    <t>10.1038/416808a</t>
  </si>
  <si>
    <t>544MH</t>
  </si>
  <si>
    <t>WOS:000175163800039</t>
  </si>
  <si>
    <t>Regoli, F; Nigro, M; Chiantore, M; Winston, GW</t>
  </si>
  <si>
    <t>Seasonal variations of susceptibility to oxidative stress in Adamussium colbecki, a key bioindicator species for the Antarctic marine environment</t>
  </si>
  <si>
    <t>SCIENCE OF THE TOTAL ENVIRONMENT</t>
  </si>
  <si>
    <t>A. colbecki; Antarctica; biomarkers; oxidative stress; total oxyradical scavenging capacity; seasonality</t>
  </si>
  <si>
    <t>OXYRADICAL SCAVENGING CAPACITY; ANTIOXIDANT DEFENSE SYSTEMS; DIGESTIVE GLAND; METALS; PROOXIDANT; RESPONSES; EXPOSURE; SCALLOPS; INDEX</t>
  </si>
  <si>
    <t>The area of free radical biology is of increasing interest for marine organisms since the enhanced formation of reactive oxygen species (ROS) is a common pathway of toxicity induced by stressful environmental conditions. In polar environments responses of the antioxidant system could be useful as an early detection biomarkers of unforeseen effects of human activities which are progressively increasing in these remote areas. However, the characterization of antioxidant defences in appropriate sentinel species is of particular value also in terms of a possible adaptation to this extreme environment. The scallop, Adamussium colbecki, is a key species for monitoring the Antarctic environment and, besides single antioxidants, the total oxyradical scavenging capacity (TOSC) assay has been recently used for quantifying the overall ability of this organism to neutralize peroxyl radicals (ROO.), hydroxyl radicals ((OH)-O-.) and peroxynitrite (HOONO). The aim of this work was to obtain a better characterization of these biological responses which can indicate the occurrence of biological disturbance; in this study the total oxyradical scavenging capacity was further analyzed to assess the presence of seasonal fluctuations in the susceptibility to oxidative stress in this species. The capability to neutralize peroxyl radicals and hydroxyl radicals increased at the end of December, while resistance towards peroxynitrite did not show any significant variations during the Antarctic summer. These results suggest the occurrence of metabolic changes which mainly influence intracellular formation of ROO. and .H-O, with more limited effects on HOONO. Despite the limited time window analyzed, as a typical constraint in Antarctic research at Terra Nova Bay, an increased resistance to these specific oxyradicals might be related to the period of highest feeding activity, or to other intrinsic factors in the animals' physiology such as the phase of reproductive cycle. (C) 2002 Elsevier Science B.V. All rights reserved.</t>
  </si>
  <si>
    <t>Univ Ancona, Ist Biol &amp; Genet, I-60100 Ancona, Italy; Univ Pisa, Dipartimento Morfol Umana &amp; Biol Applicata, Pisa, Italy; Museo Nazl Antartide, Genoa, Italy; N Carolina State Univ, Dept Toxicol, Raleigh, NC 27695 USA</t>
  </si>
  <si>
    <t>Marche Polytechnic University; University of Pisa; North Carolina State University</t>
  </si>
  <si>
    <t>Univ Ancona, Ist Biol &amp; Genet, Via Ranieri Monte Dago, I-60100 Ancona, Italy.</t>
  </si>
  <si>
    <t>regoli@popcsi.unian.it</t>
  </si>
  <si>
    <t>Regoli, Francesco/K-2719-2018; Chiantore, Mariachiara/C-7070-2017</t>
  </si>
  <si>
    <t>Regoli, Francesco/0000-0001-6084-6188; Chiantore, Mariachiara/0000-0002-5862-1470</t>
  </si>
  <si>
    <t>0048-9697</t>
  </si>
  <si>
    <t>1879-1026</t>
  </si>
  <si>
    <t>SCI TOTAL ENVIRON</t>
  </si>
  <si>
    <t>Sci. Total Environ.</t>
  </si>
  <si>
    <t>APR 22</t>
  </si>
  <si>
    <t>1-3</t>
  </si>
  <si>
    <t>PII S0048-9697(01)01047-6</t>
  </si>
  <si>
    <t>10.1016/S0048-9697(01)01047-6</t>
  </si>
  <si>
    <t>555WZ</t>
  </si>
  <si>
    <t>WOS:000175817400017</t>
  </si>
  <si>
    <t>Samura, K; Hashimoto, S; Kawasaki, M; Hayashida, A; Kagi, E; Ishiwata, T; Matsumi, Y</t>
  </si>
  <si>
    <t>Isotope 18O/16O ratio measurements of water vapor by use of the 950-nm wavelength region with cavity ring-down and photoacoustic spectroscopic techniques</t>
  </si>
  <si>
    <t>APPLIED OPTICS</t>
  </si>
  <si>
    <t>ABSORPTION; OXYGEN; O-2</t>
  </si>
  <si>
    <t>Two optical methods, cavity ring-down spectroscopy and photoacoustic spectroscopy, are applied to the measurement of the isotope ratio O-18/O-16 in water-vapor samples with a Nd3+:YAG pumped-dye laser. The combination band of (2nu(1), + nu(3)) in the 960-nm region of water molecules is investigated for two standard water samples, the Vienna Standard Mean Ocean Water and the Standard Light Antarctic Precipitation. The results demonstrate that the two methods have the potential of compact systems for in-situ measurements of H2O isotope ratio in the environment. (C) 2002 Optical Society of America.</t>
  </si>
  <si>
    <t>Kyoto Univ, Dept Mol Engn, Kyoto 6068501, Japan; Kyoto Univ, Grad Sch Global Environm Studies, Kyoto 6068501, Japan; Hiroshima City Univ, Fac Informat Sci, Hiroshima 7313194, Japan; Nagoya Univ, Solar Terr Environm Lab, Toyokawa 4428507, Japan</t>
  </si>
  <si>
    <t>Kyoto University; Kyoto University; Nagoya University</t>
  </si>
  <si>
    <t>Kyoto Univ, Dept Mol Engn, Kyoto 6068501, Japan.</t>
  </si>
  <si>
    <t>mkawasa7@ip.media.kyoto-u.ac.jp</t>
  </si>
  <si>
    <t>Ishiwata, Tsukasa/AAM-6880-2020; Matsumi, Yutaka/I-6229-2014; Matsumi, Yutaka/AAM-6768-2021</t>
  </si>
  <si>
    <t>Ishiwata, Tsukasa/0000-0003-2369-2698; Matsumi, Yutaka/0000-0002-5881-1899</t>
  </si>
  <si>
    <t>OPTICAL SOC AMER</t>
  </si>
  <si>
    <t>2010 MASSACHUSETTS AVE NW, WASHINGTON, DC 20036 USA</t>
  </si>
  <si>
    <t>1559-128X</t>
  </si>
  <si>
    <t>2155-3165</t>
  </si>
  <si>
    <t>APPL OPTICS</t>
  </si>
  <si>
    <t>Appl. Optics</t>
  </si>
  <si>
    <t>APR 20</t>
  </si>
  <si>
    <t>10.1364/AO.41.002349</t>
  </si>
  <si>
    <t>Optics</t>
  </si>
  <si>
    <t>544KH</t>
  </si>
  <si>
    <t>WOS:000175156400020</t>
  </si>
  <si>
    <t>Spero, HJ; Lea, DW</t>
  </si>
  <si>
    <t>The cause of carbon isotope minimum events on glacial terminations</t>
  </si>
  <si>
    <t>ANTARCTIC INTERMEDIATE WATER; PLANKTONIC-FORAMINIFERA; ATMOSPHERIC CO2; SURFACE-WATER; PACIFIC DEEP; SEA-ICE; OCEAN; CIRCULATION; CLIMATE; AGE</t>
  </si>
  <si>
    <t>The occurrence of carbon isotope minima at the beginning of glacial terminations is a common feature of planktic foraminifera carbon isotopic records from the Indo-Pacific, sub-Antarctic, and South Atlantic. We use the delta(13)C record of a thermocline-dwelling foraminifera, Neogloboquadrina dutertrei, and surface temperature estimates from the eastern equatorial Pacific to demonstrate that the onset of delta(13)C minimum events and the initiation of Southern Ocean warming occurred simultaneously. Timing agreement between the marine record and the delta(13)C minimum in an Antarctic atmospheric record suggests that the deglacial events were a response to the breakdown of surface water stratification, renewed Circumpolar Deep Water upwelling, and advection of low delta(13)C waters to the convergence zone at the sub-Antarctic front. On the basis of age agreement between the absolute delta(13)C minimum in surface records and the shift from low to high delta(13)C in the deep South Atlantic, we suggest that the delta(13)C rise that marks the end of the carbon isotope minima was due to the resumption of North Atlantic Deep Water influence in the Southern Ocean.</t>
  </si>
  <si>
    <t>Univ Calif Davis, Dept Geol, Davis, CA 95616 USA; Univ Calif Santa Barbara, Dept Geol Sci, Santa Barbara, CA 93106 USA; Univ Calif Santa Barbara, Inst Marine Sci, Santa Barbara, CA 93106 USA</t>
  </si>
  <si>
    <t>University of California System; University of California Davis; University of California System; University of California Santa Barbara; University of California System; University of California Santa Barbara</t>
  </si>
  <si>
    <t>Univ Calif Davis, Dept Geol, Davis, CA 95616 USA.</t>
  </si>
  <si>
    <t>spero@geology.ucdavis.edu</t>
  </si>
  <si>
    <t>Spero, Howard/0000-0001-5465-8607</t>
  </si>
  <si>
    <t>APR 19</t>
  </si>
  <si>
    <t>10.1126/science.1069401</t>
  </si>
  <si>
    <t>544UE</t>
  </si>
  <si>
    <t>WOS:000175179400044</t>
  </si>
  <si>
    <t>Holmstrup, M; Bayley, M; Ramlov, H</t>
  </si>
  <si>
    <t>Supercool or dehydrate? An experimental analysis of overwintering strategies in small permeable arctic invertebrates</t>
  </si>
  <si>
    <t>WATER-VAPOR ABSORPTION; COLD-HARDINESS; THERMAL HYSTERESIS; ANTARCTIC NEMATODES; TOLERANCE; SURVIVAL; INSECTS; COCOONS; SOIL; ACCUMULATION</t>
  </si>
  <si>
    <t>Soil invertebrate survival in freezing temperatures has generally been considered in the light of the physiological adaptations seen in surface living insects. These adaptations, notably the ability to supercool, have evolved in concert with surface invertebrates' ability to retain body water in a dry environment. However, most soil invertebrates are orders of magnitude less resistant to desiccation than these truly terrestrial insects, opening the possibility that the mechanisms involved in their cold-hardiness are also of a radically different nature. Permeable soil invertebrates dehydrate when exposed in frozen soil. This dehydration occurs because the water vapor pressure of supercooled water is higher than that of ice at the same temperature. The force of this vapor pressure difference is so large that even a few degrees of supercooling will result in substantial water loss, continuing until the vapor pressure of body fluids equals that of the surrounding ice. At this stage, the risk of tissue ice formation has been eliminated, and subzero survival is ensured. Here we show that these soil invertebrates do not base their winter survival on supercooling, as do many other ectotherms, but instead dehydrate and equilibrate their body-fluid melting point to the ambient temperature. They can achieve this equilibration even at the extreme cooling rates seen in polar soils.</t>
  </si>
  <si>
    <t>Natl Environm Res Inst, Dept Terr Ecol, DK-8600 Silkeborg, Denmark; Aarhus Univ, Inst Biol Sci, Dept Zool, DK-8000 Aarhus C, Denmark; Roskilde Univ Ctr, Dept Chem &amp; Life Sci, DK-4000 Roskilde, Denmark</t>
  </si>
  <si>
    <t>Aarhus University; Aarhus University; Roskilde University</t>
  </si>
  <si>
    <t>Holmstrup, M (corresponding author), Natl Environm Res Inst, Dept Terr Ecol, POB 314,Vejlsovej 25, DK-8600 Silkeborg, Denmark.</t>
  </si>
  <si>
    <t>Bayley, Mark/J-5947-2013; Holmstrup, Martin/I-7463-2013; Holmstrup, Martin/E-8731-2017</t>
  </si>
  <si>
    <t>Bayley, Mark/0000-0001-8052-2551; Holmstrup, Martin/0000-0001-8395-6582; Ramlov, Hans/0000-0003-1113-0583</t>
  </si>
  <si>
    <t>APR 16</t>
  </si>
  <si>
    <t>10.1073/pnas.082580699</t>
  </si>
  <si>
    <t>543DX</t>
  </si>
  <si>
    <t>WOS:000175087000178</t>
  </si>
  <si>
    <t>Kent, DV; Hemming, SR; Turrin, BD</t>
  </si>
  <si>
    <t>Laschamp excursion at Mono Lake?</t>
  </si>
  <si>
    <t>magnetic field; C-14; argon; ash; sanidine</t>
  </si>
  <si>
    <t>EARTHS MAGNETIC-FIELD; ENHANCED BE-10 DEPOSITION; ICE CORE; C-14 CALIBRATION; GEOMAGNETIC EXCURSION; ANTARCTIC ICE; NORDIC SEAS; K-AR; SEDIMENTS; PALEOINTENSITY</t>
  </si>
  <si>
    <t>The Laschamp Geomagnetic Excursion (ca. 41 ka) and a related increase of cosmogenic nuclides provides a global tie point among sedimentary and ice core records. In the Wilson Creek Formation, Mono Lake, California, the Laschamp Excursion has not been recognized although the so-called Mono Lake excursion was found in the section with an estimated age of about 28 C-14 ka. However, our reevaluation of the age of the Mono Lake excursion at its type locality using new C-14 dates on carbonates and 40Ar/39Ar sanidine dates on ash layers yields an estimate of 38-41 ka. This chronology and the absence of a second excursion in the Wilson Creek Formation suggest that the distinct paleomagnetic feature with negative inclinations at Mono Lake is correlative with the Laschamp Excursion. (C) 2002 Elsevier Science B.V. All rights reserved.</t>
  </si>
  <si>
    <t>Columbia Univ, Lamont Doherty Earth Observ, Palisades, NY 10964 USA; Rutgers State Univ, Dept Geol Sci, Piscataway, NJ 08854 USA; Columbia Univ, Dept Earth &amp; Environm Sci, Palisades, NY 10964 USA</t>
  </si>
  <si>
    <t>Columbia University; Rutgers University System; Rutgers University New Brunswick; Columbia University</t>
  </si>
  <si>
    <t>Columbia Univ, Lamont Doherty Earth Observ, Rt 9W, Palisades, NY 10964 USA.</t>
  </si>
  <si>
    <t>dvk@ldeo.columbia.edu</t>
  </si>
  <si>
    <t>Kent, Dennis/0000-0002-7677-2993; Hemming, Sidney/0000-0001-8117-2303</t>
  </si>
  <si>
    <t>APR 15</t>
  </si>
  <si>
    <t>PII S0012-821X(02)00474-0</t>
  </si>
  <si>
    <t>10.1016/S0012-821X(02)00474-0</t>
  </si>
  <si>
    <t>551GM</t>
  </si>
  <si>
    <t>WOS:000175551700002</t>
  </si>
  <si>
    <t>Blanke, B; Speich, S; Madec, G; Maugé, R</t>
  </si>
  <si>
    <t>A global diagnostic of interior ocean ventilation -: art. no. 1267</t>
  </si>
  <si>
    <t>NORTH-ATLANTIC; THERMOHALINE CIRCULATION; WATER; EXCHANGE; PACIFIC; THERMOCLINE; VARIABILITY; SUBDUCTION; LAYER; WARM</t>
  </si>
  <si>
    <t>[1] Ventilation is the process by which water is transferred from the surface mixed layer to the interior ocean. Ventilation anomalies as the result of climate variability may impact the atmosphere in remote regions where the flow returns to the mixed layer. From the Lagrangian analysis of monthly-mean ocean fields of a numerical model constrained by observed climatologies, we show that 324 Snu of mixed layer water travel throughout the interior ocean for periods longer than 12 months, leading to an average volume replacement time of roughly 125 yr. We evaluate the connections established on a global scale, with an appropriate mapping of the ventilation and corresponding obduction regions, and highlight the role of the Antarctic Circumpolar Current as a main receptacle of the water masses formed throughout the world ocean.</t>
  </si>
  <si>
    <t>UFR Sci &amp; Tech, Lab Phys Oceans, F-29285 Brest, France; Univ Paris 06, Lab Oceanog Dynam &amp; Climatol, F-75252 Paris 05, France</t>
  </si>
  <si>
    <t>Centre National de la Recherche Scientifique (CNRS); Ifremer; Institut de Recherche pour le Developpement (IRD); Universite de Bretagne Occidentale; Sorbonne Universite</t>
  </si>
  <si>
    <t>Blanke, B (corresponding author), UFR Sci &amp; Tech, Lab Phys Oceans, 6 Av Le Gorgeu,BP809, F-29285 Brest, France.</t>
  </si>
  <si>
    <t>madec, gurvan/E-7825-2010; Speich, Sabrina/L-3780-2014; Blanke, Buno/A-3724-2010; Blanke, Bruno/H-4280-2015</t>
  </si>
  <si>
    <t>madec, gurvan/0000-0002-6447-4198; Speich, Sabrina/0000-0002-5452-8287; Blanke, Bruno/0000-0002-1309-0952</t>
  </si>
  <si>
    <t>10.1029/2001GL013727</t>
  </si>
  <si>
    <t>609DF</t>
  </si>
  <si>
    <t>WOS:000178886800020</t>
  </si>
  <si>
    <t>Cofaigh, CO; Pudsey, CJ; Dowdeswell, JA; Morris, P</t>
  </si>
  <si>
    <t>Evolution of subglacial bedforms along a paleo-ice stream, Antarctic Peninsula continental shelf</t>
  </si>
  <si>
    <t>WEST ANTARCTICA; RETREAT; FLOW; SEA</t>
  </si>
  <si>
    <t>[1] Geophysical data from the Antarctic Peninsula continental shelf reveal streamlined subglacial bedforms in a cross-shelf trough. Bedforms exhibit progressive elongation with distance along the trough, and record flow of a paleo-ice stream from the Antarctic Peninsula Ice Sheet during the last glacial maximum. Downflow evolution of the bedforms indicates increasing flow velocities as the ice stream traversed the shelf. This, in turn, is related to a transition from crystalline bedrock on the inner shelf to a soft sedimentary substrate on the outer shelf. Although streaming flow operated across both substrates, the highest flow velocities occurred over the soft bed. Spatial variation in the inferred nature of fast-flow, from sliding to subglacial sediment deformation and/or ploughing, was also lithologically controlled. These data highlight the control of subglacial geology on ice-stream dynamics in the geological record and demonstrate a direct relationship between the formation of streamlined subglacial bedforms and paleo-ice streams.</t>
  </si>
  <si>
    <t>Univ Bristol, Sch Geol Sci, Bristol Glaciol Ctr, Bristol BS8 1SS, Avon, England; British Antarctic Survey, Cambridge CB3 0ER, England; Univ Cambridge, Scott Polar Res Inst, Cambridge CB2 1ER, England</t>
  </si>
  <si>
    <t>University of Bristol; UK Research &amp; Innovation (UKRI); Natural Environment Research Council (NERC); NERC British Antarctic Survey; University of Cambridge</t>
  </si>
  <si>
    <t>Cofaigh, CO (corresponding author), Univ Cambridge, Scott Polar Res Inst, Lensfield Rd, Cambridge CB2 1ER, England.</t>
  </si>
  <si>
    <t>Dowdeswell, Julian/0000-0003-1369-9482</t>
  </si>
  <si>
    <t>10.1029/2001GL014488</t>
  </si>
  <si>
    <t>WOS:000178886800088</t>
  </si>
  <si>
    <t>Corr, HFJ; Jenkins, A; Nicholls, KW; Doake, CSM</t>
  </si>
  <si>
    <t>Precise measurement of changes in ice-shelf thickness by phase-sensitive radar to determine basal melt rates</t>
  </si>
  <si>
    <t>[1] We describe a novel technique for measuring the basal melt rate at a point on an ice shelf. The method uses a phase-sensitive radar to observe the change in thickness of the ice column between an upper reference horizon and the ice shelf base. The observed thickness change is a combination of basal melting, horizontal ice divergence and firn compaction. The latter two components are determined independently by the repeat survey of surface markers and from estimates of surface accumulation rate and density at the depth of the reference horizon. The technique has been applied at a site on George VI Ice Shelf, Antarctica, where a melt rate of 2.78 +/- 0.08 m yr(-1) was observed over a twelve-day period. Our technique is applicable to almost any ice shelf or floating glacier tongue, and its high precision over short time intervals will permit the measurement of seasonal variations in melt rate.</t>
  </si>
  <si>
    <t>Corr, HFJ (corresponding author), British Antarctic Survey, NERC, High Cross,Madingley Rd, Cambridge CB3 0ET, England.</t>
  </si>
  <si>
    <t>Corr, Hugh/C-5398-2011; Jenkins, Adrian/IUN-2406-2023</t>
  </si>
  <si>
    <t>Jenkins, Adrian/0000-0002-9117-0616</t>
  </si>
  <si>
    <t>10.1029/2001GL014618</t>
  </si>
  <si>
    <t>WOS:000178886800055</t>
  </si>
  <si>
    <t>De Santis, A; Torta, JM; Gaya-Piqué, LR</t>
  </si>
  <si>
    <t>The first Antarctic geomagnetic Reference Model (ARM) -: art. no. 1192</t>
  </si>
  <si>
    <t>REFERENCE FIELD</t>
  </si>
  <si>
    <t>[1] Spherical Cap Harmonic Analysis has been applied to obtain a reference model of geomagnetic secular change for Antarctica valid for the last forty years. In this paper, we use the latest available observatory data to update this model and to compare it with the 8th generation IGRF. In addition, the selected set of total field values used for the generation of the Oersted Initial Field Model have been employed together with observatory data to develop the first complete Antarctic Reference Model (ARM). This model improves the fit to the secular variation deduced from observatory data by about 60% relative to IGRF, and the fit to observatory and satellite field data by 8%. The model allows merging data sets taken at different altitudes and epochs in Antarctica, where significant temporal geomagnetic variations occur.</t>
  </si>
  <si>
    <t>Ist Nazl Geofis &amp; Vulcanol, I-00143 Rome, Italy; Observ Ebre, Roquetes 43520, Spain</t>
  </si>
  <si>
    <t>Istituto Nazionale Geofisica e Vulcanologia (INGV); Universitat Ramon Llull; Ebre Observatory</t>
  </si>
  <si>
    <t>De Santis, A (corresponding author), Ist Nazl Geofis &amp; Vulcanol, Via Vigna Murata 605, I-00143 Rome, Italy.</t>
  </si>
  <si>
    <t>Torta, Joan Miquel/C-7614-2014</t>
  </si>
  <si>
    <t>Torta, Joan Miquel/0000-0002-4340-7308</t>
  </si>
  <si>
    <t>10.1029/2002GL014675</t>
  </si>
  <si>
    <t>WOS:000178886800095</t>
  </si>
  <si>
    <t>Doake, CSM; Corr, HFJ; Nicholls, KW; Gaffikin, A; Jenkins, A; Bertiger, WI; King, MA</t>
  </si>
  <si>
    <t>Tide-induced lateral movement of Brunt Ice Shelf, Antarctica</t>
  </si>
  <si>
    <t>GPS DATA; MODEL; FILCHNER</t>
  </si>
  <si>
    <t>[1] Accurate position data show that Brunt Ice Shelf has an irregular three-dimensional motion driven by the ocean tide. A 30-day GPS record from Halley station shows not only the expected vertical tidal displacement, but also a significant variation in horizontal velocity. The maximum forward velocity occurs about four hours before the maximum tidal height, a phase relationship that suggests ocean currents may be responsible. However, values of ice/ water friction coefficients needed to make this explanation plausible appear to be too high to be physically reasonable. Alternative explanations invoke interactions between the ice shelf and a grounded area at the ice front. Our findings suggest that significant errors might result if these motions are ignored when interpreting 'double difference' satellite SAR interferograms, where the common assumption is that the horizontal velocity of an ice shelf has no tidal dependence.</t>
  </si>
  <si>
    <t>British Antarctic Survey, NERC, Cambridge CB3 0ET, England; CALTECH, Jet Prop Lab, Pasadena, CA 91109 USA; Newcastle Univ, Dept Geomat, Newcastle Upon Tyne NE1 7RU, Tyne &amp; Wear, England; Univ Tasmania, Ctr Spatial Informat Sci, Hobart, Tas, Australia</t>
  </si>
  <si>
    <t>UK Research &amp; Innovation (UKRI); Natural Environment Research Council (NERC); NERC British Antarctic Survey; California Institute of Technology; National Aeronautics &amp; Space Administration (NASA); NASA Jet Propulsion Laboratory (JPL); Newcastle University - UK; University of Tasmania</t>
  </si>
  <si>
    <t>British Antarctic Survey, NERC, Madingley Rd, Cambridge CB3 0ET, England.</t>
  </si>
  <si>
    <t>csmd@bas.ac.uk; hfjc@bas.ac.ujk; kwni@bas.ac.uk; ajcg@bas.ac.uk; ajen@bas.ac.uk; willy.bertiger@jpl.nasa.gov; m.a.king@ncl.ac.uk</t>
  </si>
  <si>
    <t>Corr, Hugh/C-5398-2011; King, Matt/B-4622-2008; Jenkins, Adrian/IUN-2406-2023</t>
  </si>
  <si>
    <t>King, Matt/0000-0001-5611-9498; Jenkins, Adrian/0000-0002-9117-0616</t>
  </si>
  <si>
    <t>10.1029/2001GL014606</t>
  </si>
  <si>
    <t>WOS:000178886800061</t>
  </si>
  <si>
    <t>HCHO in Antarctic snow: Preservation in ice cores and air-snow exchange</t>
  </si>
  <si>
    <t>TO-FIRN TRANSFER; SOUTH-POLE; HYDROGEN-PEROXIDE; FORMALDEHYDE; TROPOSPHERE; H2O2; GREENLAND</t>
  </si>
  <si>
    <t>[1] Formaldehyde (HCHO) measurements in snow and shallow firn at three Antarctic sites gave concentrations around 6 ppbw in surface snow and 1 ppbw and lower below 1-2 m depth. The variable concentration patterns in shallow snow and firn result from temperature-dependent uptake and release of HCHO in response to annual temperature cycles. Deeper concentrations are constant with depth, and apparently reflect average atmospheric concentrations. This implies that after accounting for differences in temperature and accumulation, changes in ice-core HCHO concentrations with depth should linearly reflect changes in atmospheric HCHO over time. Modeling of observed HCHO profiles in the snow implies that degassing of HCHO from surface snow likely contributes a significant fraction of the HCHO found in the boundary layer in spring and summer at all three sites. Based on modeling of air-snow exchange and atmospheric photochemistry, summer HCHO levels are estimated to be on the order of 100-200 pptv.</t>
  </si>
  <si>
    <t>Univ Bern, Inst Phys, CH-3012 Bern, Switzerland; Univ Arizona, Dept Hydrol &amp; Water Resources, Tucson, AZ 85721 USA; Desert Res Inst, Reno, NV 89512 USA; NASA, Goddard Space Flight Ctr, Greenbelt, MD 20771 USA</t>
  </si>
  <si>
    <t>University of Bern; University of Arizona; Nevada System of Higher Education (NSHE); Desert Research Institute NSHE; National Aeronautics &amp; Space Administration (NASA); NASA Goddard Space Flight Center</t>
  </si>
  <si>
    <t>Hutterli, MA (corresponding author), Univ Bern, Inst Phys, CH-3012 Bern, Switzerland.</t>
  </si>
  <si>
    <t>10.1029/2001GL014256</t>
  </si>
  <si>
    <t>WOS:000178886800050</t>
  </si>
  <si>
    <t>Jenkins, A; Holland, DM</t>
  </si>
  <si>
    <t>A model study of ocean circulation beneath Filchner-Ronne Ice Shelf, Antarctica: Implications for bottom water formation</t>
  </si>
  <si>
    <t>[1] An isopycnic coordinate ocean circulation model has been applied to the southern Weddell Sea, including the cavity beneath Filchner-Ronne Ice Shelf, with the aim of investigating the buoyancy-forced circulation on the continental shelf. Buoyancy forcing is associated with both the annual growth and decay of sea ice and the interaction between ice shelf and ocean. In the model a generally anti-cyclonic circulation develops beneath the ice shelf, so that new shelf waters entering the cavity in the west emerge colder and fresher in the east. The outflow contributes to a dense current that spills off the continental shelf and descends the slope. Oceanographic observations from the region are consistent with this picture and highlight the overflow as a major source of Weddell Sea Bottom Water.</t>
  </si>
  <si>
    <t>British Antarctic Survey, NERC, Cambridge CB3 0ET, England; NYU, Courant Inst Math Sci, New York, NY 10012 USA</t>
  </si>
  <si>
    <t>UK Research &amp; Innovation (UKRI); Natural Environment Research Council (NERC); NERC British Antarctic Survey; New York University</t>
  </si>
  <si>
    <t>Jenkins, A (corresponding author), British Antarctic Survey, NERC, Madingley Rd, Cambridge CB3 0ET, England.</t>
  </si>
  <si>
    <t>Jenkins, Adrian/IUN-2406-2023</t>
  </si>
  <si>
    <t>10.1029/2001GL014589</t>
  </si>
  <si>
    <t>WOS:000178886800094</t>
  </si>
  <si>
    <t>Nagashima, T; Takahashi, M; Takigawa, M; Akiyoshi, H</t>
  </si>
  <si>
    <t>Future development of the ozone layer calculated by a general circulation model with fully interactive chemistry</t>
  </si>
  <si>
    <t>DEPLETION; GCM</t>
  </si>
  <si>
    <t>[1] The future development of stratospheric ozone is estimated using an atmospheric general circulation model that includes a fully interactive chemistry module. Two transient integrations considering the anthropogenic chlorine emission trend were performed. One calculated with a carbon dioxide increase and a sea surface temperature (SST) variation between 1986 and 2050, and the other without the increase or the variation. In the Southern Hemisphere polar region, a 10 day-averaged column ozone takes its minimum of 140 Dobson Unit (DU) around 2000 and recovers above 220 DU after the late 2030s. Such temporal evolution of ozone is not greatly influenced by the carbon dioxide increase and SST variation but seems to be maintained by simulated chlorine loading in the lower stratosphere. In the integration with carbon dioxide increase and SST variation, the Northern Hemisphere polar column ozone decreases until 2010, but massive depletion such as that causing the Antarctic ozone-hole (less than 200 DU) does not occur.</t>
  </si>
  <si>
    <t>Univ Tokyo, Ctr Climate Syst Res, Tokyo 1538904, Japan; Frontier Res Syst Global Change, Yokohama, Kanagawa 2360001, Japan; Natl Inst Environm Studies, Tsukuba, Ibaraki 3058506, Japan</t>
  </si>
  <si>
    <t>University of Tokyo; Japan Agency for Marine-Earth Science &amp; Technology (JAMSTEC); National Institute for Environmental Studies - Japan</t>
  </si>
  <si>
    <t>Natl Inst Environm Studies, Tsukuba, Ibaraki 3058506, Japan.</t>
  </si>
  <si>
    <t>tagashima.tatsuya@nies.go.jp; masaaki@ccsr.u-tokyo.ac.jp; takigawa@jamstec.go.jp; hakiyosi@nies.go.jp</t>
  </si>
  <si>
    <t>Takigawa, Masayuki/M-2095-2014; Akiyoshi, Hideharu/H-8170-2018</t>
  </si>
  <si>
    <t>Akiyoshi, Hideharu/0000-0001-6463-9004</t>
  </si>
  <si>
    <t>10.1029/2001GL014026</t>
  </si>
  <si>
    <t>WOS:000178886800124</t>
  </si>
  <si>
    <t>Pan, LL; Randel, WJ; Nakajima, H; Massie, ST; Kanzawa, H; Sasano, Y; Yokota, T; Sugita, T; Hayashida, S; Oshchepkov, S</t>
  </si>
  <si>
    <t>Satellite observation of dehydration in the Arctic Polar stratosphere</t>
  </si>
  <si>
    <t>WINTER; VORTEX; DENITRIFICATION; PARTICLES; O-3</t>
  </si>
  <si>
    <t>[1] We report the first space-borne observation of dehydration in the Arctic polar stratosphere. In January 1997, the Improved Limb Atmospheric Spectrometer (ILAS) observed up to similar to3 ppmv water vapor reduction during ice cloud formation and similar to2 ppmv permanent removal of water vapor, mostly at altitudes between 23 and 26 km. In some cases, the dehydrated air was downwind from mountain wave induced Polar Stratospheric Cloud (PSC) events. Furthermore, simultaneous observations of HNO(3) and H(2)O show that the gas phase reduction of HNO(3) in the Arctic (January 1997) was much smaller than that observed in the Antarctic (June 1997) when a similar level of water vapor reduction occurred.</t>
  </si>
  <si>
    <t>Natl Ctr Atmospher Res, Boulder, CO 80307 USA; Natl Inst Environm Studies, Tsukuba, Ibaraki, Japan; Nara Womens Univ, Nara 630, Japan</t>
  </si>
  <si>
    <t>National Center Atmospheric Research (NCAR) - USA; National Institute for Environmental Studies - Japan; Nara Womens University</t>
  </si>
  <si>
    <t>Pan, LL (corresponding author), Natl Ctr Atmospher Res, POB 3000, Boulder, CO 80307 USA.</t>
  </si>
  <si>
    <t>Pan, Laura L/A-9296-2008; Nakajima, Hideaki/M-8845-2019; Sasano, Yasuhiro/AAL-8184-2020; Randel, William J/K-3267-2016; Sugita, Takafumi/H-6669-2018</t>
  </si>
  <si>
    <t>Pan, Laura L/0000-0001-7377-2114; Nakajima, Hideaki/0000-0002-2742-1230; Sasano, Yasuhiro/0000-0001-7470-5642;</t>
  </si>
  <si>
    <t>10.1029/2001GL014147</t>
  </si>
  <si>
    <t>WOS:000178886800103</t>
  </si>
  <si>
    <t>Wu, P</t>
  </si>
  <si>
    <t>Effects of nonlinear rheology on degree 2 harmonic deformation in a spherical self-gravitating earth</t>
  </si>
  <si>
    <t>SEA; LEVEL</t>
  </si>
  <si>
    <t>[1] The effect of non-linear rheology on surface displacements, gravitational potential perturbation and partial derivative(t)J(2) (or J(2)-dot) for a self-gravitating spherical earth is studied using a finite element code coupled to Poisson's equation. Four earth models investigated are: a model with uniform linear rheology throughout the mantle and three others containing nonlinear rheology in the whole mantle, upper mantle and lower mantle respectively. The effect of self-gravitation is shown to be non-negligible. The effects of nonlinear rheology in different parts of the mantle on surface displacements and potential have also been shown to be large. partial derivative(t)J(2) due to cyclic glaciation of the Laurentian, Fennoscandian, Barents Sea and Antarctic ice sheets over realistic oceans is also computed for all four rheology models. The model with nonlinear lower mantle cannot be ruled out by the observed data.</t>
  </si>
  <si>
    <t>Univ Calgary, Dept Geol &amp; Geophys, Calgary, AB T2N 1N4, Canada</t>
  </si>
  <si>
    <t>University of Calgary</t>
  </si>
  <si>
    <t>Univ Calgary, Dept Geol &amp; Geophys, Calgary, AB T2N 1N4, Canada.</t>
  </si>
  <si>
    <t>Wu, Patrick/K-5946-2017; Wu, Patrick/F-4194-2010</t>
  </si>
  <si>
    <t>Wu, Patrick/0000-0001-5812-4928</t>
  </si>
  <si>
    <t>10.1029/2001GL014109</t>
  </si>
  <si>
    <t>WOS:000178886800089</t>
  </si>
  <si>
    <t>van der Veen, CJ</t>
  </si>
  <si>
    <t>Polar ice sheets and global sea level: how well can we predict the future?</t>
  </si>
  <si>
    <t>polar ice sheets; global sea level; mass balance models</t>
  </si>
  <si>
    <t>SURFACE MASS-BALANCE; ANTARCTIC ACCUMULATION RATES; SNOW ACCUMULATION; GREENLAND; PRECIPITATION; TEMPERATURE; ELEVATION; MODEL; VERIFICATION; DEPENDENCE</t>
  </si>
  <si>
    <t>Geophysical models are based on hypotheses that are often derived from theoretical arguments or from observations, or a combination of both. Owing to the open nature of geophysical systems, these models cannot be verified in the sense that it cannot be proven that the model is an accurate representation of the physical reality, At best these models can be confirmed by comparing model predictions against independent observations. The more such observations the model agrees with, the greater confidence can be placed in the model and its reliability as a basis for decision making, A review of mass balance models used to predict past and future contributions to global sea level change arising from changes in snow accumulation and surface ablation on the polar ice sheets is presented. Observations on which these models are based are ambiguous and there is evidence suggesting that these models do not capture all relevant physical processes, some of which-such as changes in atmospheric circulation patterns-may have an equally important effect on changes in surface mass balance as does the direct temperature forcing. In the context of greenhouse-warming-induced sea level change, uncertainties in model parameters are sufficiently great to yield a range of projected contributions from Greenland and Antarctica that encompass sea-level lowering and rise in 2100 A.D. for each of the warming scenarios considered. The uncertainty associated with ice sheet mass balance parameterizations is of similar magnitude as that associated with temperature projections. These results are broadly similar to those of the Third Assessment Report issued by the Intergovernmental Panel on Climate Change (IPCC). (C) 2002 Elsevier Science B.V. All rights reserved.</t>
  </si>
  <si>
    <t>Ohio State Univ, Byrd Polar Res Ctr, Dept Geog, Columbus, OH 43210 USA</t>
  </si>
  <si>
    <t>University System of Ohio; Ohio State University</t>
  </si>
  <si>
    <t>Ohio State Univ, Byrd Polar Res Ctr, Dept Geog, 108 Scott Hall,1090 Carmack Rd, Columbus, OH 43210 USA.</t>
  </si>
  <si>
    <t>vanderveen.1@osu.edu</t>
  </si>
  <si>
    <t>1872-6364</t>
  </si>
  <si>
    <t>2-3</t>
  </si>
  <si>
    <t>PII S0921-8181(01)00140-0</t>
  </si>
  <si>
    <t>10.1016/S0921-8181(01)00140-0</t>
  </si>
  <si>
    <t>558JB</t>
  </si>
  <si>
    <t>WOS:000175961600005</t>
  </si>
  <si>
    <t>Kidson, JW; Renwick, JA</t>
  </si>
  <si>
    <t>The Southern Hemisphere evolution of ENSO during 1981-99</t>
  </si>
  <si>
    <t>SEA-SURFACE TEMPERATURE; LOW-FREQUENCY VARIABILITY; ANTARCTIC CIRCUMPOLAR WAVE; SOUTHWEST PACIFIC-OCEAN; EL-NINO; LEVEL PRESSURE; INTERDECADAL VARIABILITY; INTERANNUAL VARIABILITY; CLIMATE VARIABILITY; TROPICAL PACIFIC</t>
  </si>
  <si>
    <t>Improvements in observing systems over the last two decades now permit more detailed examinations of variability in the mid- and high- latitude Southern Hemisphere circulation. In this study the leading modes of variation in the extratropical sea surface temperature are identified from the Reynolds optimal interpolation (OI) dataset between November 1981 and December 1999. Although attempts were made to exclude the strong contribution due to El Nino-Southern Oscillation (ENSO) by confining the analysis between 60degrees and 15degreesS, the three leading modes were all ENSO- related. The first EOF with 13.9% of the monthly variance lags the Southern Oscillation index (SOI) by 2 months and depicts sea temperature variations characteristic of mature ENSO events. The second EOF, accounting for 8.8% of the variance, shows a  precursor'' pattern that is strongly correlated with the SOI and with EOF1, which it leads by 9- 10 months. This pattern is characterized by anomalies west and east of Australia (extending north of New Zealand), a dipole in the Atlantic, and a further center to the southwest of South America. The third EOF expresses variations in the amplitude of the southern arm of the  horseshoe'' pattern of the opposite sign surrounding the ENSO anomaly in the central Pacific. In view of these strong links to ENSO and identification of the precursor pattern, further analysis was made of ENSO development patterns over the 1980s and 1990s in combination with datasets expressing lower- and upper- tropospheric flow patterns, outgoing longwave radiation, sea ice extent, and cyclone frequency. These show the expected pattern of behavior in the tropical belt. Farther south, the sea temperature anomaly off the east Australian coast is seen to strengthen and propagate eastward over the Pacific near 30degreesS. During warm events Rossby waves, initiated by convection in the mid-Pacific, apparently force an anomalous anticyclonic circulation near 60degreesS in the eastern Pacific. This in turn leads to above- normal temperatures on its western side and a southward displacement of the sea ice boundary. Cyclone frequencies are only weakly related to the SOI and tend to be negatively correlated with the sea level pressure anomalies. Overall, these results show that, on interannual timescales, large- scale extratropical sea temperature variations in the Southern Hemisphere are primarily driven by ENSO, and are unlikely to make a significant independent contribution to seasonal climate prediction.</t>
  </si>
  <si>
    <t>Natl Inst Water &amp; Atmosphere Res Ltd, Wellington, New Zealand</t>
  </si>
  <si>
    <t>Kidson, JW (corresponding author), Natl Inst Water &amp; Atmosphere Res Ltd, POB 14-901, Wellington, New Zealand.</t>
  </si>
  <si>
    <t>Renwick, James/0000-0002-9141-2486</t>
  </si>
  <si>
    <t>10.1175/1520-0442(2002)015&lt;0847:TSHEOE&gt;2.0.CO;2</t>
  </si>
  <si>
    <t>531XK</t>
  </si>
  <si>
    <t>WOS:000174442400003</t>
  </si>
  <si>
    <t>Klatt, O; Roether, W; Hoppema, M; Bulsiewicz, K; Fleischmann, U; Rodehacke, C; Fahrbach, E; Weiss, RF; Bullister, JL</t>
  </si>
  <si>
    <t>Repeated CFC sections at the Greenwich Meridian in the Weddell Sea</t>
  </si>
  <si>
    <t>ANTARCTIC BOTTOM WATER; ICE STATION WEDDELL; DEEP-WATER; CARBON-TETRACHLORIDE; MAUD-RISE; SCOTIA CONFLUENCE; TRANSIENT TRACER; SOUTHERN-OCEAN; CIRCULATION; GYRE</t>
  </si>
  <si>
    <t>[1] Repeated observations of the tracer chlorofluorocarbon-11 (CFC-11) for a section along the Greenwich Meridian from Antarctica (70degreesS) to about 50 S are presented for the period 1984-1998. The CFC sections display a highly persistent pattern. A middepth CFC minimum in the central Weddell Sea is bounded laterally by elevated levels of dissolved CFCs at the southern margin of the Weddell Basin and by a column of elevated CFC concentrations around 55degreesS near to the northern margin. Part of the latter column covers waters of the Antarctic Circumpolar Current, which indicates that a moderate portion of these waters was ventilated in the Weddell Sea. Deep CFC maxima adjoining the southern and northern margins of the Weddell Basin indicate advective cores of recently ventilated waters. The southern core supports previous notions of deep water import into the Weddell Sea from the east. For all deep and bottom waters, the portions ventilated on the CFC timescale (similar to50 years) are small. Effective initial CFC saturations for these portions are estimated to be between 60 and 70%, using in part new data from off the Filchner-Ronne Ice Shelf. For various CFC features along the section (mostly advective cores), ventilated fractions and mean ages of these fractions were obtained (with error limits). The procedure was to fit an age distribution of a prescribed form to CFC-11 time series for these features, constructed from the various realizations of the CFC section. The ages are between 3 and 19 years, and the ventilated fractions range between 6 and 23%, indicating a rather limited ventilation of the interior Weddell Sea subsurface layer waters on the CFC timescale. It is shown that the concurrent CFC-12 data provide little additional information. The work demonstrates a high information content of repeated tracer observations and encourages similar approaches also in other ocean regions.</t>
  </si>
  <si>
    <t>Univ Bremen, Inst Umweltphys, D-28334 Bremen, Germany; Max Planck Inst Meteorol, D-20146 Hamburg, Germany; Alfred Wegener Inst Polar &amp; Marine Res, D-27515 Bremerhaven, Germany; Univ Calif San Diego, Scripps Inst Oceanog, La Jolla, CA 92093 USA; Univ Washington, Sch Oceanog, Seattle, WA 98195 USA</t>
  </si>
  <si>
    <t>University of Bremen; Max Planck Society; Helmholtz Association; Alfred Wegener Institute, Helmholtz Centre for Polar &amp; Marine Research; University of California System; University of California San Diego; Scripps Institution of Oceanography; University of Washington; University of Washington Seattle</t>
  </si>
  <si>
    <t>Univ Bremen, Inst Umweltphys, POB 330 440, D-28334 Bremen, Germany.</t>
  </si>
  <si>
    <t>oklatt@physik.uni-bremen.de; rfweiss@ucsd.edu; John.L.Bullister@noaa.gov</t>
  </si>
  <si>
    <t>Hoppema, Mario/I-6286-2013</t>
  </si>
  <si>
    <t>Hoppema, Mario/0000-0002-2326-619X; Rodehacke, Christian/0000-0003-3110-3857</t>
  </si>
  <si>
    <t>C4</t>
  </si>
  <si>
    <t>10.1029/2000JC000731</t>
  </si>
  <si>
    <t>609UU</t>
  </si>
  <si>
    <t>WOS:000178923600003</t>
  </si>
  <si>
    <t>Mironov, D; Terzhevik, A; Kirillin, G; Jonas, T; Malm, J; Farmer, D</t>
  </si>
  <si>
    <t>Radiatively driven convection in ice-covered lakes: Observations, scaling, and a mixed layer model</t>
  </si>
  <si>
    <t>convection; ice-covered lake; scaling; mixed layer model</t>
  </si>
  <si>
    <t>PLANETARY BOUNDARY-LAYER; SALT CONTENT REGIMES; DEGREES N LAT; PENETRATIVE CONVECTION; ANTARCTIC LAKE; SURFACE-LAYER; TEMPERATURE; OCEAN; HEAT; DENSITY</t>
  </si>
  <si>
    <t>[1] Penetrative convection is discussed where the instability is driven by radiative heating of water below the temperature of maximum density. Convection of this type occurs in ice-covered freshwater lakes in late spring, when the snow cover vanishes and solar radiation is absorbed beneath the ice cover. The vertical temperature structure, bulk mixed layer scaling, and mixed layer deepening are examined for a number of temperate and polar lakes. A bulk mixed layer scaling for this type of convection is based on energy arguments underlying the classical Deardorff convective scaling. The depth of the convective layer serves as an appropriate length scale. However, a modified scale that takes account of the energetics of a distributed radiation source term replaces the surface buoyancy flux velocity scale used by Deardorff. The scaling compares favorably with large-eddy simulations of turbulence kinetic energy (TKE) and with both observations and large-eddy simulations of the TKE dissipation rate. Mixed layer deepening is simulated with a model of convection beneath lake ice. The model describes the structure of the stably stratified layer just beneath the ice with a stationary solution to the heat transfer equation; the structure of the entrainment layer is parameterized with a zero-order jump approach. The entrainment equation is derived from the mixed layer TKE budget and bulk mixed layer scaling. Entrainment regimes characteristic of convection beneath ice are analyzed. It is shown that if the Deardorff convective velocity scale is replaced with a scale incorporating the distributed buoyancy flux, the entrainment equation describing atmospheric and oceanic convective boundary layers also applies beneath the ice. Model predictions compare well with data from observations in a number of lakes. We propose and compare with observations an extension of the mixed layer model that allows for the inclusion of salinity. Although the salt concentration is low in most temperate and polar lakes, its dynamical effect can be significant close to the temperature of maximum density.</t>
  </si>
  <si>
    <t>German Weather Serv, Abt Meteorol Anal &amp; Modellierung, D-63067 Offenbach, Germany; Alfred Wegener Inst Polar &amp; Marine Res, D-2850 Bremerhaven, Germany; Russian Acad Sci, No Water Problems Inst, Petrozavodsk 185003, Russia; Forschungsverbund Berlin EV, Inst Gewasserokol &amp; Binnenfischerei, Abt Limnol Flussseen, Berlin, Germany; Swiss Fed Inst Environm Sci &amp; Technol, CH-8600 Dubendorf, Switzerland; Lund Univ, Dept Water Resources Engn, S-22100 Lund, Sweden; Fisheries &amp; Oceans Canada Inst Ocean Sci, Sidney, BC V8L 4B2, Canada</t>
  </si>
  <si>
    <t>Deutscher Wetterdienst; Helmholtz Association; Alfred Wegener Institute, Helmholtz Centre for Polar &amp; Marine Research; Russian Academy of Sciences; Karelian Research Centre of the Russian Academy of Sciences; Northern Water Problems Institute, Karelian Scientific Center, RAS; Technical University of Berlin; Leibniz Institut fur Gewasserokologie und Binnenfischerei (IGB); Swiss Federal Institutes of Technology Domain; Swiss Federal Institute of Aquatic Science &amp; Technology (EAWAG); Lund University; Fisheries &amp; Oceans Canada</t>
  </si>
  <si>
    <t>German Weather Serv, Abt Meteorol Anal &amp; Modellierung, Referat FE14,Postfach 100465,Frankfurter Str 135, D-63067 Offenbach, Germany.</t>
  </si>
  <si>
    <t>dmitrii.mironov@dwd.de; ark@nwpi.krc.karelia.ru; kirillin@igb-berlin.de; tobias.jonas@eawag.ch; joakim.malm@tvrl.lth.se; farmed@dfo-mpo.gc.ca</t>
  </si>
  <si>
    <t>Terzhevik, Arkady/L-7911-2013; Malm, Joakim G B/JFA-2440-2023; Kirillin, Georgiy/B-5410-2010</t>
  </si>
  <si>
    <t>Terzhevik, Arkady/0000-0002-0837-9065; Malm, Joakim G B/0000-0002-5755-3373; Kirillin, Georgiy/0000-0001-7337-3586; Mironov, Dmitrii/0000-0002-3228-5851</t>
  </si>
  <si>
    <t>10.1029/2001JC000892</t>
  </si>
  <si>
    <t>WOS:000178923600001</t>
  </si>
  <si>
    <t>You, YZ</t>
  </si>
  <si>
    <t>Quantitative estimate of Antarctic Intermediate Water contributions from the Drake Passage and the southwest Indian Ocean to the South Atlantic</t>
  </si>
  <si>
    <t>South Atlantic; AAIW; water mass mixing; mixing ratios; tracers; quantitative estimate of AAIW sources</t>
  </si>
  <si>
    <t>BRAZIL-MALVINAS CONFLUENCE; THERMOCLINE CIRCULATION; FLOW PATTERNS; VENTILATION; SALINITY; TRANSFORMATION; TEMPERATURE; EXCHANGE; DYNAMICS</t>
  </si>
  <si>
    <t>[1] Recently obtained World Ocean Circulation Experiment (WOCE) bottle sections and a pre-WOCE bottle data set are used in a water mass mixing model. The mixing scheme comprises three intermediate water sources: Antarctic Intermediate Water (AAIW) from the northern Drake Passage, a combination source of the Indian Ocean intermediate waters entering from south of Africa, and a transformed end-member of the former two sources. I call them dAAIW, iAAIW, and aAAIW, respectively. The dAAIW originates from the southeast South Pacific, enters the South Atlantic in the northern Drake Passage, and is modified in the Falkland Current loop. The iAAIW is a combination of the Indian Ocean sources including Red Sea Intermediate Water, Indonesian Intermediate Water, and AAIW formed locally in the south central Indian Ocean and transformed dAAIW that has returned following a loop through the Indian Ocean. The aAAIW is a transformed end-member of a mixture of dAAIW and iAAIW located in the eastern tropical South Atlantic, characterized by an oxygen minimum and nutrient maxima. Although aAAIW is not an import source like dAAIW and iAAIW, it spans property fields to extrema as a result of water mass mixing and transformation processes and therefore must be included in the basin-wide water mass mixing scheme. The study is performed on five neutral surfaces that encompass the AAIW layer from 700 to 1200 dbar in the subtropical latitudes with a distance of about 100 dbar between a pair of surfaces. Four conservative variables of potential temperature, salinity, initial phosphate (PO4o), and NO and one conservative dynamical tracer fN(2) (where f is the Coriolis frequency and N-2 is the squared buoyancy frequency) are used as input information to the mixing model. The model-derived mixing fraction gives a quantitative description of AAIW sources when they are mapped onto neutral surfaces. The contoured pattern of mixing fraction shows water mass spreading paths, thus implying circulation and ventilation of AAIW in the South Atlantic. Results show that dAAIW is a dominant water mass and iAAIW is about 30-60% of dAAIW in the subtropical latitudes. With the mixing proportion of AAIW sources derived from the mixing model the geostrophic volume transport and dianeutral upwelling transport can be separated into the individual contributions from each AAIW source. It is found that the percentage of the transport contributed by dAAIW and iAAIW to the South Atlantic is almost constant at 64 +/- 2% and 36 +/- 2%, respectively. Meridional transport in the subtropical latitudes between 30degrees and 10degreesS by dAAIW and iAAIW (referenced to 2000 dbar) has a mean of 4.26 Sv northward (1 Sv = 10(6) m(3) s(-1)) shared between dAAIW at 2.70 Sv (63%) and iAAIW at 1.56 Sv (37%). The mean zonal transport in the western and eastern South Atlantic between 40degrees and 3degreesS is -5.13 Sv westward, shared between dAAIW at -3.38 Sv (66%) and iAAIW at -1.75 Sv (34%). The dianeutral upwelling transport across the uppermost neutral surface sigma(N) = 27.25 in the northwest South Atlantic (north of 30degreesS and west of 10degreesW) is 2.26 Sv shared between dAAIW at 1.40 Sv (62%) and iAAIW at 0.86 Sv (38%).</t>
  </si>
  <si>
    <t>Univ Kiel, Inst Meereskunde, D-2300 Kiel, Germany</t>
  </si>
  <si>
    <t>University of Kiel</t>
  </si>
  <si>
    <t>You, YZ (corresponding author), Univ New S Wales, Sch Math, Ctr Environm Modeling &amp; Predict, Sydney, NSW 2052, Australia.</t>
  </si>
  <si>
    <t>you@maths.unsw.edu.au</t>
  </si>
  <si>
    <t>10.1029/2001JC000880</t>
  </si>
  <si>
    <t>WOS:000178923600002</t>
  </si>
  <si>
    <t>Morgan-Kiss, R; Ivanov, AG; Williams, J; Khan, M; Huner, NPA</t>
  </si>
  <si>
    <t>Differential thermal effects on the energy distribution between photosystem II and photosystem I in thylakoid membranes of a psychrophilic and a mesophilic alga</t>
  </si>
  <si>
    <t>BIOCHIMICA ET BIOPHYSICA ACTA-BIOMEMBRANES</t>
  </si>
  <si>
    <t>chloroplast membrane; chlorophyll fluorescence; heat stress; lipid unsaturation; photochemical apparatus; Chlamydomonas subcaudata</t>
  </si>
  <si>
    <t>MOLECULAR-SPECIES ALTERATIONS; LOW-TEMPERATURE ACCLIMATION; CHLOROPHYLL A/B-PROTEIN; CATION-INDUCED INCREASE; HEAT-INDUCED CHANGES; PHOTOSYNTHETIC APPARATUS; HIGHER-PLANTS; CHLAMYDOMONAS-REINHARDTII; ELECTRON-TRANSPORT; PHOTOACOUSTIC MEASUREMENTS</t>
  </si>
  <si>
    <t>Sensitivity of the photosynthetic thylakoid membranes to thermal stress was investigated in the psychrophilic Antarctic alga Chlamydomonas subcaudata. C subcaudata thylakoids exhibited an elevated heat sensitivity as indicated by a temperature-induced rise in F,, fluorescence in comparison with the mesophilic species, Chlamydomonas reinhardtii. This was accompanied by a loss of structural stability of the photosystem (PS) 11 core complex and functional changes at the level of PSI in C reinhardtii, but not in C subcaudata. Lastly, C subcaudata exhibited an increase in unsaturated fatty acid content of membrane lipids in combination with unique fatty acid species. The relationship between lipid unsaturation and the functioning of the photosynthetic apparatus under elevated temperatures is discussed. (C) 2002 Elsevier Science B.V. All rights reserved.</t>
  </si>
  <si>
    <t>Univ Western Ontario, Dept Plant Sci, London, ON N6A 5B7, Canada; Univ Illinois, Dept Microbiol, Urbana, IL 61801 USA; Univ Toronto, Dept Bot, Toronto, ON, Canada</t>
  </si>
  <si>
    <t>Western University (University of Western Ontario); University of Illinois System; University of Illinois Urbana-Champaign; University of Toronto</t>
  </si>
  <si>
    <t>Univ Western Ontario, Dept Plant Sci, London, ON N6A 5B7, Canada.</t>
  </si>
  <si>
    <t>nhuner@julian.uwo.ca</t>
  </si>
  <si>
    <t>Ivanov, Alexander/0000-0001-7910-5494; Morgan-kiss, Rachael/0000-0003-4783-5358; Ivanov, Alexander G./0000-0001-7100-9211</t>
  </si>
  <si>
    <t>0005-2736</t>
  </si>
  <si>
    <t>0006-3002</t>
  </si>
  <si>
    <t>BBA-BIOMEMBRANES</t>
  </si>
  <si>
    <t>Biochim. Biophys. Acta-Biomembr.</t>
  </si>
  <si>
    <t>APR 12</t>
  </si>
  <si>
    <t>PII S0005-2736(02)00352-8</t>
  </si>
  <si>
    <t>10.1016/S0005-2736(02)00352-8</t>
  </si>
  <si>
    <t>Biochemistry &amp; Molecular Biology; Biophysics</t>
  </si>
  <si>
    <t>550LE</t>
  </si>
  <si>
    <t>WOS:000175503900013</t>
  </si>
  <si>
    <t>Yamaguchi, A; Clayton, RN; Mayeda, TK; Ebihara, M; Oura, Y; Miura, YN; Haramura, H; Misawa, K; Kojima, H; Nagao, K</t>
  </si>
  <si>
    <t>A new source of basaltic meteorites inferred from Northwest Africa 011</t>
  </si>
  <si>
    <t>PARENT BODY; NOBLE-GASES; EUCRITES; METAMORPHISM; ACHONDRITES; ELEMENTS; CRUST</t>
  </si>
  <si>
    <t>Eucrites are a class of basaltic meteorites that share common mineralogical, isotopic, and chemical properties and are thought to have been derived from the same parent body, possibly asteroid 4 Vesta. The texture, mineralogy, and noble gas data of the recently recovered meteorite, Northwest Africa (NWA) 011, are similar to those of basaltic eucrites. However, the oxygen isotopic composition of NWA011 is different from that of other eucrites, indicating that NWA011 may be derived from a different parent body. The presence of basaltic meteorites with variable oxygen isotopic composition suggests the occurrence of multiple basaltic meteorite parent bodies, perhaps similar to 4 Vesta, in the early solar system.</t>
  </si>
  <si>
    <t>Natl Inst Polar Res, Antarctic Meteorite Res Ctr, Tokyo 1738515, Japan; Grad Univ Adv Studies, Tokyo 1738515, Japan; Univ Chicago, Enrico Fermi Inst, Chicago, IL 60637 USA; Tokyo Metropolitan Univ, Dept Chem, Tokyo 1920397, Japan; Univ Tokyo, Earthquake Res Inst, Tokyo 1130032, Japan; Univ Tokyo, Earthquake Chem Lab, Tokyo 1130033, Japan</t>
  </si>
  <si>
    <t>Research Organization of Information &amp; Systems (ROIS); National Institute of Polar Research (NIPR) - Japan; Graduate University for Advanced Studies - Japan; University of Chicago; Tokyo Metropolitan University; University of Tokyo; University of Tokyo</t>
  </si>
  <si>
    <t>Yamaguchi, A (corresponding author), Natl Inst Polar Res, Antarctic Meteorite Res Ctr, Tokyo 1738515, Japan.</t>
  </si>
  <si>
    <t>10.1126/science.1069408</t>
  </si>
  <si>
    <t>541TJ</t>
  </si>
  <si>
    <t>WOS:000175000300054</t>
  </si>
  <si>
    <t>Dowdeswell, JA; Bassford, RP; Gorman, MR; Williams, M; Glazovsky, AF; Macheret, YY; Shepherd, AP; Vasilenko, YV; Savatyuguin, LM; Hubberten, HW; Miller, H</t>
  </si>
  <si>
    <t>Form and flow of the Academy of Sciences Ice Cap, Severnaya Zemlya, Russian High Arctic</t>
  </si>
  <si>
    <t>SATELLITE RADAR INTERFEROMETRY; SURGE-TYPE GLACIERS; FRANZ-JOSEF-LAND; SVALBARD; IMAGERY</t>
  </si>
  <si>
    <t>[1] The 5,575-km(2) Academy of Sciences Ice Cap is the largest in the Russian Arctic. A 100-MHz airborne radar, digital Landsat imagery, and satellite synthetic aperture radar (SAR) interferometry are used to investigate its form and flow, including the proportion of mass lost through iceberg calving. The ice cap was covered by a 10-km-spaced grid of radar flight paths, and the central portion was covered by a grid at 5-km intervals: a total of 1,657 km of radar data. Digital elevation models (DEMs) of ice surface elevation, ice thickness, and bed elevation data sets were produced (cell size 500 m). The DEMs were used in the selection of a deep ice core drill site. To tal ice cap volume is 2,1 84 km(3) (similar to5.5 mm sea level equivalent). The ice cap has a single dome reaching 749 m. Maxi mum ice thickness is 819 m. About 200 km, or 42%, of the ice margin is marine. About 50% of the ice cap bed is below sea level. The central divide of the ice cap and several major drain age basins, in the south and east of the ice cap and of up to 975 km(2), are delimited from satellite imagery. The re is no evidence of past surge activity on the ice cap. SAR interferometric fringes and phase-unwrapped velocities for the whole ice cap indicate slow flow in the interior and much of the margin, punctuated by four fast flowing features with lateral shear zones and maxi mum velocity of 140 m yr(-1). These ice streams extend back into the slower moving ice to within 5 - 10 km of the ice cap crest. They have lengths of 17 - 37 km and widths of 4 - 8 km. Mass flux from these ice streams is similar to0.54 km(3) yr(-1). Tabular icebergs up to similar to1.7 km long are produced. Total iceberg flux from the ice cap is similar to0.65 km(3) yr(-1) and probably represents similar to40% of the overall mass loss, with the remainder coming from surface melting. Driving stresses are generally low est (&lt; 40 kPa) close to the ice cap divides and in several of the ice streams. Ice stream motion is likely to include a significant basal component and may involve deformable marine sediments.</t>
  </si>
  <si>
    <t>Univ Cambridge, Scott Polar Res Inst, Cambridge CB2 1ER, England; Univ Bristol, Sch Geog Sci, Bristol Glaciol Ctr, Ctr Polar Observat &amp; Modelling, Bristol BS8 1SS, Avon, England; Univ Newcastle Upon Tyne, Dept Geomat, Newcastle Upon Tyne NE1 7RU, Tyne &amp; Wear, England; Russian Acad Sci, Inst Geog, Moscow 109017, Russia; UCL, Dept Space &amp; Climate Phys, Ctr Polar Observat &amp; Modelling, London WC1E 6BT, England; Uzbek Acad Sci, Inst Sci Instruments, Tashkent, Uzbekistan; Arctic &amp; Antarctic Res Inst, St Petersburg 199226, Russia; Alfred Wegener Inst Polar &amp; Marine Res, D-27515 Bremerhaven, Germany</t>
  </si>
  <si>
    <t>University of Cambridge; University of Bristol; Newcastle University - UK; Institute of Geography, Russian Academy of Sciences; Russian Academy of Sciences; University of London; University College London; Academy of Sciences of Uzbekistan; Arctic &amp; Antarctic Research Institute; Helmholtz Association; Alfred Wegener Institute, Helmholtz Centre for Polar &amp; Marine Research</t>
  </si>
  <si>
    <t>jd16@cam.ac.uk</t>
  </si>
  <si>
    <t>Yury, Macheret/AAG-7696-2021; Glazovsky, Andrey/G-9060-2011; Williams, Meredith/D-2903-2012</t>
  </si>
  <si>
    <t>Glazovsky, Andrey/0000-0001-6275-7517;</t>
  </si>
  <si>
    <t>APR 10</t>
  </si>
  <si>
    <t>B4</t>
  </si>
  <si>
    <t>10.1029/2000JB000129</t>
  </si>
  <si>
    <t>609QX</t>
  </si>
  <si>
    <t>WOS:000178917000009</t>
  </si>
  <si>
    <t>Ogasawara, H; Kawai, M</t>
  </si>
  <si>
    <t>Photochemistry of CFCl3 on ice surface:: surface chlorine reservoir species</t>
  </si>
  <si>
    <t>SURFACE SCIENCE</t>
  </si>
  <si>
    <t>10th International Conference on Vibrations at Surfaces</t>
  </si>
  <si>
    <t>JUN 17-21, 2001</t>
  </si>
  <si>
    <t>ST MALO, FRANCE</t>
  </si>
  <si>
    <t>infrared absorption spectroscopy; water; ozone; chlorine</t>
  </si>
  <si>
    <t>HYDROGEN-CHLORIDE; ANTARCTIC OZONE; WATER; DEPLETION; NITRATE; HCL</t>
  </si>
  <si>
    <t>Free OH species at the ice surface plays an important role in ozone hole chemistry occurring on the surface of clouds. Photodecomposition of CFCl3 on an ice surface grown oil Ru(0 0 1) is studied with infrared absorption spectroscopy in connection with the formation of chlorine reservoir in ozone hole chemistry. We have evidenced that the photolysis of CFCl3 oil the ice surface leaves anionic chlorine which are coordinated to free OH species. This enables the highly concentrated storage of chlorine on the ice surface. (C) 2002 Elsevier Science B.V. All rights reserved.</t>
  </si>
  <si>
    <t>RIKEN, Inst Phys &amp; Chem Res, Wako, Saitama 3510198, Japan</t>
  </si>
  <si>
    <t>RIKEN</t>
  </si>
  <si>
    <t>Ogasawara, H (corresponding author), RIKEN, Inst Phys &amp; Chem Res, 2-1 Hirosawa, Wako, Saitama 3510198, Japan.</t>
  </si>
  <si>
    <t>Ogasawara, Hirohito/D-2105-2009; Kawai, Maki/AAC-2345-2021</t>
  </si>
  <si>
    <t>Ogasawara, Hirohito/0000-0001-5338-1079; Kawai, Maki/0000-0002-7963-6989</t>
  </si>
  <si>
    <t>0039-6028</t>
  </si>
  <si>
    <t>SURF SCI</t>
  </si>
  <si>
    <t>Surf. Sci.</t>
  </si>
  <si>
    <t>PII S0039-6028(01)01965-3</t>
  </si>
  <si>
    <t>10.1016/S0039-6028(01)01965-3</t>
  </si>
  <si>
    <t>Chemistry, Physical; Physics, Condensed Matter</t>
  </si>
  <si>
    <t>548HZ</t>
  </si>
  <si>
    <t>WOS:000175383700044</t>
  </si>
  <si>
    <t>De Carlo, EH; Beltran, VL; Shacat, J; Vink, S; Green, WJ; Measures, CI</t>
  </si>
  <si>
    <t>Comparison of redox controlled trace metal and rare earth cycling in the water columns of the Eastern Tropical North Pacific ocean and a meromictic Antarctic lake.</t>
  </si>
  <si>
    <t>ABSTRACTS OF PAPERS OF THE AMERICAN CHEMICAL SOCIETY</t>
  </si>
  <si>
    <t>Univ Hawaii, Dept Oceanog, Honolulu, HI 96822 USA; CSIRO, Land &amp; Water, Canberra, ACT, Australia; Miami Univ, Sch Interdisciplinary Studies, Oxford, OH 45056 USA</t>
  </si>
  <si>
    <t>University of Hawaii System; Commonwealth Scientific &amp; Industrial Research Organisation (CSIRO); CSIRO Land &amp; Water; University System of Ohio; Miami University</t>
  </si>
  <si>
    <t>Vink, Sue/J-7938-2012</t>
  </si>
  <si>
    <t>Vink, Sue/0000-0002-0303-7699</t>
  </si>
  <si>
    <t>0065-7727</t>
  </si>
  <si>
    <t>ABSTR PAP AM CHEM S</t>
  </si>
  <si>
    <t>Abstr. Pap. Am. Chem. Soc.</t>
  </si>
  <si>
    <t>APR 7</t>
  </si>
  <si>
    <t>034-GEOC</t>
  </si>
  <si>
    <t>U596</t>
  </si>
  <si>
    <t>Chemistry, Multidisciplinary</t>
  </si>
  <si>
    <t>564CD</t>
  </si>
  <si>
    <t>WOS:000176296703274</t>
  </si>
  <si>
    <t>Madon-Senez, C</t>
  </si>
  <si>
    <t>A new species of marsupiate Antarctic echinoid:: Amphipneustes davidi (Echinodermata: Spatangoida: Schizasteridae)</t>
  </si>
  <si>
    <t>PROCEEDINGS OF THE BIOLOGICAL SOCIETY OF WASHINGTON</t>
  </si>
  <si>
    <t>The Recent brooding species of the genus Amphipneustes (Schizasteridae) live in the subantarctic and antarctic regions. A new brooding species, Amphipneustes davidi, differs from its congeners in three ways: the periproct, located at the ambital posterior region of the test, is conspicuous from the apical side; the posterior ambulacral avenues of the oral side are strongly directed laterally; peculiar huge bidentate pedicellariae show an unsual spatulate shape.</t>
  </si>
  <si>
    <t>Ctr Sci Terre, CNRS, UMR 5561, F-21000 Dijon, France</t>
  </si>
  <si>
    <t>Universite de Bourgogne; Centre National de la Recherche Scientifique (CNRS)</t>
  </si>
  <si>
    <t>Madon-Senez, C (corresponding author), Ctr Sci Terre, CNRS, UMR 5561, 6 Bld Gabriel, F-21000 Dijon, France.</t>
  </si>
  <si>
    <t>BIOL SOC WASHINGTON</t>
  </si>
  <si>
    <t>NAT MUSEUM NAT HIST SMITHSONIAN INST, WASHINGTON, DC 20560 USA</t>
  </si>
  <si>
    <t>0006-324X</t>
  </si>
  <si>
    <t>P BIOL SOC WASH</t>
  </si>
  <si>
    <t>Proc. Biol. Soc. Wash.</t>
  </si>
  <si>
    <t>APR 3</t>
  </si>
  <si>
    <t>541NJ</t>
  </si>
  <si>
    <t>WOS:000174990400005</t>
  </si>
  <si>
    <t>Cairns, SD</t>
  </si>
  <si>
    <t>A new species of Chrysogorgia (Anthozoa: Octocorallia) from the Antarctic</t>
  </si>
  <si>
    <t>A new species of Chrysogorgia, C. antarctica, is described from the Ross Sea, Antarctica, representing the first chrysogorgiid described from south of 50degreesS. It is distinguished by having only scales in its body wall and tentacles (Group C), a dichotomously branching main stem with a 1/4R branching sequence, and uniquely shaped tentacular sclerites. Based on an extrapolation of the height (and thus age) of the colony and the number of concentric axial lamellae, it was determined that one lamella is secreted approximately every 43 days, not on an annual basis as in tropical species that have been examined.</t>
  </si>
  <si>
    <t>Smithsonian Inst, Natl Museum Nat Hist, Dept Systemat Biol Invertebrate Zool, Washington, DC 20560 USA</t>
  </si>
  <si>
    <t>Smithsonian Institution; Smithsonian National Museum of Natural History</t>
  </si>
  <si>
    <t>Smithsonian Inst, Natl Museum Nat Hist, Dept Systemat Biol Invertebrate Zool, Washington, DC 20560 USA.</t>
  </si>
  <si>
    <t>ALLEN PRESS INC</t>
  </si>
  <si>
    <t>LAWRENCE</t>
  </si>
  <si>
    <t>810 E 10TH ST, LAWRENCE, KS 66044 USA</t>
  </si>
  <si>
    <t>1943-6327</t>
  </si>
  <si>
    <t>WOS:000174990400017</t>
  </si>
  <si>
    <t>Kirkman, SP; Bester, MN; Hofmeyr, GJG; Pistorius, PA; Makhado, AB</t>
  </si>
  <si>
    <t>Pup growth and maternal attendance patterns in Subantarctic fur seals</t>
  </si>
  <si>
    <t>AFRICAN ZOOLOGY</t>
  </si>
  <si>
    <t>Subantarctic fur seal; Marion Island; Gough Island; pup growth; maternal attendance behaviour</t>
  </si>
  <si>
    <t>ANTARCTIC MARION-ISLAND; ARCTOCEPHALUS-GAZELLA; SOUTH-GEORGIA; AMSTERDAM-ISLAND; GOUGH-ISLAND; EL-NINO; POSTNATAL-GROWTH; BIRD-ISLAND; TROPICALIS; BEHAVIOR</t>
  </si>
  <si>
    <t>Samples of pups from the expanding populations of Subantarctic fur seals (Arctocephalus tropicalis) at Marion and Gough islands were weighed at specific ages between birth and weaning in the period 1993-2000. Growth was estimated and compared between years, sexes, sites of different density, and populations. Pups of comparable age were consistently heavier at Marion island than at Gough Island, probably reflecting relative prey resource abundance. No changes in pup growth rates were apparent over the study period, nor was there any evidence that growth was affected by ENSO events. Measures of pup growth at Marion Island were complemented by measures of maternal attendance behaviour during three summer and winter seasons. More years of data are required to determine patterns between attendance, growth, resource conditions and population abundance trends.</t>
  </si>
  <si>
    <t>Kirkman, Stephen/AAA-9139-2021; Hofmeyr, G. J. Greg/AAV-3286-2020; Bester, Marthán N/E-5387-2010</t>
  </si>
  <si>
    <t>Kirkman, Stephen/0000-0001-5428-7375; Hofmeyr, G. J. Greg/0000-0003-0283-6058; Pistorius, Pierre/0000-0001-6561-7069</t>
  </si>
  <si>
    <t>ZOOLOGICAL SOC SOUTHERN AFRICA</t>
  </si>
  <si>
    <t>PRETORIA</t>
  </si>
  <si>
    <t>AFRICAN ZOOLOGY CIRCULATION OFFICE, PO BOX 11663,, PRETORIA 0028, SOUTH AFRICA</t>
  </si>
  <si>
    <t>1562-7020</t>
  </si>
  <si>
    <t>AFR ZOOL</t>
  </si>
  <si>
    <t>Afr. Zool.</t>
  </si>
  <si>
    <t>APR</t>
  </si>
  <si>
    <t>573AX</t>
  </si>
  <si>
    <t>WOS:000176808100003</t>
  </si>
  <si>
    <t>Denton, MH; Bailey, GJ; Wilford, CR; Rodger, AS; Venkatraman, S</t>
  </si>
  <si>
    <t>He+ dominance in the plasmasphere during geomagnetically disturbed periods:: 1.: Observational results</t>
  </si>
  <si>
    <t>ANNALES GEOPHYSICAE</t>
  </si>
  <si>
    <t>magnetospheric physics; storms and substorms, plasmasphere</t>
  </si>
  <si>
    <t>HIGH-LATITUDE IONOSPHERE; ION-CYCLOTRON WAVES; TOPSIDE IONOSPHERE; THERMAL ELECTRONS; THERMOSPHERE; MODEL; STORM; ACCELERATION; PLASMAPAUSE; EQUINOX</t>
  </si>
  <si>
    <t>Observations made by the DMSP 1710 satellite during the recovery phase from geomagnetic disturbances in June 1991 show regions of He+ dominance around 830 km altitude at 09:00 MLT. These regions are co-located with a trough in ionisation observed around 55degrees in the winter hemisphere. Plasma temperature and concentration observations made during the severe geomagnetic storm of 24 March 1991 are used as a case study to determine the effects of geomagnetic disturbances along the orbit of the F10 satellite. Previous explanations for He+ dominance in this trough region relate to the part of the respective flux tubes that is in darkness. Such conditions are not relevant for this study, since the whole of the respective flux tubes are sunlit. A new mechanism is proposed to explain the He+ dominance in the trough region. This mechanism is based on plasma transport and chemical reaction effects in the F-region and topside ionosphere, and on the time scales for such chemical reactions. Flux tubes previously depleted by geomagnetic storm effects refill during the recovery phase from the ionosphere as a result of pressure differences along the flux tubes. Following a geomagnetic disturbance, the He+ ion recovers quickly via the rapid photoionisation of neutral helium, in the F-region and the topside. The recovery of the O+ and H+ ions is less rapid. This is proposed as a result of the respective charge exchange reactions with neutral atomic hydrogen and oxygen. Preliminary model calculations support the proposed mechanism.</t>
  </si>
  <si>
    <t>Univ Wales, Radio &amp; Space Phys Grp, Aberystwyth, Dyfed, Wales; Univ Sheffield, Space &amp; Atmospher Res Grp, Sheffield S10 2TN, S Yorkshire, England; British Antarctic Survey, Div Phys Sci, Cambridge CB3 0ET, England; Univ Texas, Ctr Space Sci, Dallas, TX 75230 USA</t>
  </si>
  <si>
    <t>Aberystwyth University; University of Sheffield; UK Research &amp; Innovation (UKRI); Natural Environment Research Council (NERC); NERC British Antarctic Survey; University of Texas System; University of Texas Dallas</t>
  </si>
  <si>
    <t>Denton, MH (corresponding author), Univ Wales, Radio &amp; Space Phys Grp, Aberystwyth, Dyfed, Wales.</t>
  </si>
  <si>
    <t>Denton, Michael/0000-0002-1748-3710</t>
  </si>
  <si>
    <t>EUROPEAN GEOPHYSICAL SOC</t>
  </si>
  <si>
    <t>KATLENBURG-LINDAU</t>
  </si>
  <si>
    <t>MAX-PLANCK-STR 13, 37191 KATLENBURG-LINDAU, GERMANY</t>
  </si>
  <si>
    <t>0992-7689</t>
  </si>
  <si>
    <t>ANN GEOPHYS-GERMANY</t>
  </si>
  <si>
    <t>Ann. Geophys.</t>
  </si>
  <si>
    <t>10.5194/angeo-20-461-2002</t>
  </si>
  <si>
    <t>Astronomy &amp; Astrophysics; Geosciences, Multidisciplinary; Meteorology &amp; Atmospheric Sciences</t>
  </si>
  <si>
    <t>Astronomy &amp; Astrophysics; Geology; Meteorology &amp; Atmospheric Sciences</t>
  </si>
  <si>
    <t>556QA</t>
  </si>
  <si>
    <t>Green Accepted, gold</t>
  </si>
  <si>
    <t>WOS:000175859400004</t>
  </si>
  <si>
    <t>Marks, RD</t>
  </si>
  <si>
    <t>Astronomical seeing from the summits of the Antarctic plateau</t>
  </si>
  <si>
    <t>ASTRONOMY &amp; ASTROPHYSICS</t>
  </si>
  <si>
    <t>atmospheric effects; site testing; methods : observational</t>
  </si>
  <si>
    <t>SOUTH-POLE</t>
  </si>
  <si>
    <t>From the South Pole, microthermal turbulence within a narrow surface boundary layer some 200 m thick provides the dominant contribution to the astronomical seeing. We present results for the seeing at a wavelength of 2.4 mum. The narrow turbulence layer above the site, confined close to the surface, provides greatly superior conditions for adaptive optics correction than do temperate latitude sites. An analysis of the available meteorological data for the Antarctic plateau suggests that sites on its summit, such as Domes A and C, probably experience significantly better boundary layer seeing than does the South Pole. In addition, the inversion layers may be significantly narrower, lending the sites even further to adaptive optics correction than does the Pole.</t>
  </si>
  <si>
    <t>Univ New S Wales, Sch Phys, Sydney, NSW 2052, Australia</t>
  </si>
  <si>
    <t>University of New South Wales Sydney</t>
  </si>
  <si>
    <t>Care of Burton M, Univ New S Wales, Sch Phys, Sydney, NSW 2052, Australia.</t>
  </si>
  <si>
    <t>M.Burton@unsw.edu.au</t>
  </si>
  <si>
    <t>EDP SCIENCES S A</t>
  </si>
  <si>
    <t>LES ULIS CEDEX A</t>
  </si>
  <si>
    <t>17, AVE DU HOGGAR, PA COURTABOEUF, BP 112, F-91944 LES ULIS CEDEX A, FRANCE</t>
  </si>
  <si>
    <t>0004-6361</t>
  </si>
  <si>
    <t>1432-0746</t>
  </si>
  <si>
    <t>ASTRON ASTROPHYS</t>
  </si>
  <si>
    <t>Astron. Astrophys.</t>
  </si>
  <si>
    <t>10.1051/0004-6361:20020132</t>
  </si>
  <si>
    <t>535BW</t>
  </si>
  <si>
    <t>WOS:000174626200030</t>
  </si>
  <si>
    <t>Ellery, A; Wynn-Williams, D</t>
  </si>
  <si>
    <t>Vanguard: a new development in experimental astrobiology</t>
  </si>
  <si>
    <t>ASTRONOMY &amp; GEOPHYSICS</t>
  </si>
  <si>
    <t>Kingston Univ, London, England; British Antarctic Survey, Cambridge CB3 0ET, England</t>
  </si>
  <si>
    <t>Kingston University; UK Research &amp; Innovation (UKRI); Natural Environment Research Council (NERC); NERC British Antarctic Survey</t>
  </si>
  <si>
    <t>Ellery, A (corresponding author), Kingston Univ, London, England.</t>
  </si>
  <si>
    <t>1366-8781</t>
  </si>
  <si>
    <t>1468-4004</t>
  </si>
  <si>
    <t>ASTRON GEOPHYS</t>
  </si>
  <si>
    <t>Astron. Geophys.</t>
  </si>
  <si>
    <t>Astronomy &amp; Astrophysics; Geochemistry &amp; Geophysics</t>
  </si>
  <si>
    <t>538HR</t>
  </si>
  <si>
    <t>WOS:000174809900012</t>
  </si>
  <si>
    <t>Pesce, GL; Pandourski, I</t>
  </si>
  <si>
    <t>Pseudocyclopina livingstoni sp n. (Copepoda, Cyclopinidae) from the Livingston Island (Antarctica)</t>
  </si>
  <si>
    <t>BIOLOGIA</t>
  </si>
  <si>
    <t>Pseudocyclopina; Cyclopinidae; Copepoda; interstitial; plankton; Antarctica</t>
  </si>
  <si>
    <t>A new species of the genus Pseudocyclopina Lang, 1946, viz. Pseudocyclopina livingstoni sp. n., is described from the littoral interstitial (South bay) and from littoral plankton (Bulgarian Base St. Kliment Ohridsky) of the Livingston Island (Antarctica). The discovery of this new species brings the total number of the species in the genus, all from the Antarctic waters, to six.</t>
  </si>
  <si>
    <t>Univ Aquila, Dipartimento Sci Ambientali, I-67100 Laquila, Italy</t>
  </si>
  <si>
    <t>University of L'Aquila</t>
  </si>
  <si>
    <t>Pandourski, I (corresponding author), Univ Aquila, Dipartimento Sci Ambientali, Via Vetoio, I-67100 Laquila, Italy.</t>
  </si>
  <si>
    <t>rum..zool@tea.bg</t>
  </si>
  <si>
    <t>0006-3088</t>
  </si>
  <si>
    <t>1336-9563</t>
  </si>
  <si>
    <t>Biologia</t>
  </si>
  <si>
    <t>560TB</t>
  </si>
  <si>
    <t>WOS:000176096500001</t>
  </si>
  <si>
    <t>Icebergs, ice conditions threaten Antarctic penguin colonies</t>
  </si>
  <si>
    <t>BULLETIN OF THE AMERICAN METEOROLOGICAL SOCIETY</t>
  </si>
  <si>
    <t>0003-0007</t>
  </si>
  <si>
    <t>1520-0477</t>
  </si>
  <si>
    <t>B AM METEOROL SOC</t>
  </si>
  <si>
    <t>Bull. Amer. Meteorol. Soc.</t>
  </si>
  <si>
    <t>547RZ</t>
  </si>
  <si>
    <t>WOS:000175346800004</t>
  </si>
  <si>
    <t>Antonioli, A; Cocco, M; Das, S; Henry, C</t>
  </si>
  <si>
    <t>Dynamic stress triggering during the great 25 March 1998 Antarctic Plate earthquake</t>
  </si>
  <si>
    <t>BULLETIN OF THE SEISMOLOGICAL SOCIETY OF AMERICA</t>
  </si>
  <si>
    <t>STATIC STRESS; FAULT INTERACTION; SHEAR; AFTERSHOCKS; SEISMICITY; CALIFORNIA; TRANSIENT; MAGNITUDE; RUPTURE; PLANE</t>
  </si>
  <si>
    <t>We investigate the coseismic stress redistribution during the 25 March 1998 great Antarctic plate (M-W 8.1) earthquake, in which the mainshock consisted of two distinct subevents separated in time by several tens of seconds. We compute the dynamic stress time histories for the fault geometry and the rupture and slip history determined by Henry et al. (2000), using the discrete wavenumber and reflectivity method of Cotton and Coutant (1997), both for a homogeneous and a stratified half-space. We first image the coseismic stress evolution caused by the first subevent on the fault plane of the second one for both the velocity models. We compute both shear and normal stress changes and a time-dependent Coulomb failure function (CFF). Our results show that the shear stress changes have larger amplitudes than the other stress components and hence are the primary control on the evolution of the CFF. The dynamic stress amplitudes are larger than the static stress perturbations, with the largest positive dynamic stress peak on the second subevent fault plane reaching slightly less than 0.2 MPa at 60 see and 65 see after the nucleation, for the layered and the homogeneous crustal models, respectively. We suggest that the dynamic stress changes caused by the first subevent promoted a nearly instantaneous failure on the second subevent fault.</t>
  </si>
  <si>
    <t>Ist Nazl Geofis &amp; Vulcanol, Rome, Italy; Univ Oxford, Dept Earth Sci, Oxford OX1 3PR, England</t>
  </si>
  <si>
    <t>Istituto Nazionale Geofisica e Vulcanologia (INGV); University of Oxford</t>
  </si>
  <si>
    <t>Ist Nazl Geofis &amp; Vulcanol, Rome, Italy.</t>
  </si>
  <si>
    <t>; COCCO, Massimo/G-6872-2012</t>
  </si>
  <si>
    <t>Antonioli, Andrea/0000-0002-7502-5662; COCCO, Massimo/0000-0001-6798-4225</t>
  </si>
  <si>
    <t>SEISMOLOGICAL SOC AMER</t>
  </si>
  <si>
    <t>ALBANY</t>
  </si>
  <si>
    <t>400 EVELYN AVE, SUITE 201, ALBANY, CA 94706-1375 USA</t>
  </si>
  <si>
    <t>0037-1106</t>
  </si>
  <si>
    <t>1943-3573</t>
  </si>
  <si>
    <t>B SEISMOL SOC AM</t>
  </si>
  <si>
    <t>Bull. Seismol. Soc. Amer.</t>
  </si>
  <si>
    <t>10.1785/0120010164</t>
  </si>
  <si>
    <t>558VG</t>
  </si>
  <si>
    <t>WOS:000175987000002</t>
  </si>
  <si>
    <t>Waluda, CM; Trathan, PN; Elvidge, CD; Hobson, VR; Rodhouse, PG</t>
  </si>
  <si>
    <t>Throwing light on straddling stocks of Illex argentinus:: assessing fishing intensity with satellite imagery</t>
  </si>
  <si>
    <t>CANADIAN JOURNAL OF FISHERIES AND AQUATIC SCIENCES</t>
  </si>
  <si>
    <t>FISHERIES</t>
  </si>
  <si>
    <t>Marine fisheries provide around 20% of animal protein consumed by man worldwide, but ineffective management can lead to commercial extinction of exploited stocks. Fisheries that overlap nationally controlled and high seas waters cause particular problems, as few management data are available for the high seas. The Argentinean short-finned squid, Illex argentinus, exemplifies such a straddling stock. Here we demonstrate that light emitted by fishing vessels to attract squid can be detected via remote-sensing. Unlike conventional fisheries data, which are restricted by political boundaries, satellite imagery can provide a synoptic view of fishing activity in both regulated and unregulated areas. By using known levels of fishing effort in Falkland Islands waters to calibrate the images, we are able to estimate effort levels on the high seas, providing a more comprehensive analysis of the overall impact of fishing on the stock. This innovative tool for quantifying fishing activity across management boundaries has wide-ranging applications to squid fisheries worldwide.</t>
  </si>
  <si>
    <t>British Antarctic Survey, NERC, Cambridge CB3 0ET, England; NOAA, Natl Geophys Data Ctr, Off Director, Boulder, CO 80303 USA; Univ Colorado, Cooperat Inst Res Environm Sci, Boulder, CO 80303 USA</t>
  </si>
  <si>
    <t>UK Research &amp; Innovation (UKRI); Natural Environment Research Council (NERC); NERC British Antarctic Survey; National Oceanic Atmospheric Admin (NOAA) - USA; University of Colorado System; University of Colorado Boulder</t>
  </si>
  <si>
    <t>clwa@bas.ac.uk</t>
  </si>
  <si>
    <t>Elvidge, Christopher D./C-3012-2009</t>
  </si>
  <si>
    <t>CANADIAN SCIENCE PUBLISHING</t>
  </si>
  <si>
    <t>65 AURIGA DR, SUITE 203, OTTAWA, ON K2E 7W6, CANADA</t>
  </si>
  <si>
    <t>0706-652X</t>
  </si>
  <si>
    <t>1205-7533</t>
  </si>
  <si>
    <t>CAN J FISH AQUAT SCI</t>
  </si>
  <si>
    <t>Can. J. Fish. Aquat. Sci.</t>
  </si>
  <si>
    <t>10.1139/F02-049</t>
  </si>
  <si>
    <t>564KH</t>
  </si>
  <si>
    <t>WOS:000176313200002</t>
  </si>
  <si>
    <t>Foschi, PG; Pagan, KL</t>
  </si>
  <si>
    <t>Toward a polar stratospheric cloud climatology using advanced very high resolution radiometer thermal infrared data</t>
  </si>
  <si>
    <t>ANTARCTIC VORTEX; SPLIT-WINDOW; OZONE; AVHRR; RECOVERY; DEPLETION; WINTER; CLAES; HNO3</t>
  </si>
  <si>
    <t>Polar stratospheric clouds (PSCs) play a critical role in ozone depletion over both polar regions. To date, the most complete PSC records consist of measurements from limb-viewing satellites that offer limited spatial and temporal coverage. To construct a more complete and long-term PSC climatology, we investigated the use of advanced very high resolution radiometer (AVHRR) satellite imagery for detecting PSCs. Two approaches were examined: (1) a correlative approach relating image-derived data to verification data, and (2) an interpretation of the image-derived data based on a radiative transfer model. The model determined that Type II or ice PSCs can be detected using the AVHRR thermal infrared channels. The image-derived data, namely density-sliced channel 5 temperature data, color composites, and density-sliced channel 4-5 brightness temperature difference images, provide quick views of potential PSC locations. The model-based approach provides the best method for constructing a long-term ice PSC climatology from the AVHRR archive.</t>
  </si>
  <si>
    <t>San Francisco State Univ, Romberg Tiburon Ctr Environm Studies, Tiburon, CA 94920 USA; San Francisco State Univ, Dept Geosci, NASA, Ames Res Ctr, Moffett Field, CA 94035 USA</t>
  </si>
  <si>
    <t>California State University System; San Francisco State University; California State University System; San Francisco State University; National Aeronautics &amp; Space Administration (NASA); NASA Ames Research Center</t>
  </si>
  <si>
    <t>Foschi, PG (corresponding author), San Francisco State Univ, Romberg Tiburon Ctr Environm Studies, 3152 Paradise Dr, Tiburon, CA 94920 USA.</t>
  </si>
  <si>
    <t>CANADIAN AERONAUTICS SPACE INST</t>
  </si>
  <si>
    <t>1685 RUSSELL RD, UNIT 1-R, OTTAWA, ON K1G 0N1, CANADA</t>
  </si>
  <si>
    <t>10.5589/m02-017</t>
  </si>
  <si>
    <t>550NZ</t>
  </si>
  <si>
    <t>WOS:000175510300012</t>
  </si>
  <si>
    <t>Delmonte, B; Petit, JR; Maggi, V</t>
  </si>
  <si>
    <t>Glacial to Holocene implications of the new 27000-year dust record from the EPICA Dome C (East Antarctica) ice core</t>
  </si>
  <si>
    <t>YOUNGER DRYAS; LAST GLACIATION; SOUTH-AMERICA; CLIMATE; VOSTOK; CYCLE; MICROPARTICLES; FLUCTUATIONS; PLEISTOCENE; AGE</t>
  </si>
  <si>
    <t>Insoluble dust concentrations and volume-size distributions have been measured for the new 581 m deep Dome C-EPICA ice core (Antarctica). Over the 27000 years spanned by the record, microparticle measurements from 169 levels, to date, confirm evidence of the drastic decrease in bulk concentration from the Last Glacial Maximum (LGM) to the Holocene (interglacial) by a factor of more than 50 in absolute value and of about 26 ill flux. Unique new features revealed by the EPICA profile include a higher dust concentration during the Antarctic Cold Reversal phase (ACR) by a factor of 2 with respect to the Holocene average. This event is followed by a well-marked minimum that appears to be concomitant with the methane peak that marks the end of the Younger Dryas in the Northern Hemisphere. Particle volume-size distributions show a mode close to 2 mum in diameter, with a slight increase from the LGM to the Holocene; the LGNI/Holocene concentration ratio appears to be dependent on particle size and for diameters from 2 to 5 mum it changes from 50 to 6. Glacial samples are characterised by well-sorted particles and very uniform distributions, while the interglacial samples display a high degree of variability and dispersion. This suggests that different modes of transport prevailed during the two climatic periods with easier penetration of air masses into Antarctica in the Holocene than during Glacial times. Assuming tat southern South America remained the main dust source for East Antarctica over the time period studied, the higher dust content recorded during the ACR which preceded the Younger Dryas period, represents evidence of a change in South America environmental conditions at this time. A wet period and likely mild climate in South America is suggested at circa 11.5-11.7 kyr BP corresponding to the end of the Younger Dryas. The Holocene part of the profile also shows a slight general decrease in concentration, but with increasingly large particles that may reflect gradual changes at the source.</t>
  </si>
  <si>
    <t>Lab Glaciol &amp; Geophys Environm, F-38402 St Martin Dheres, France; Univ Milan, Dipartimento Sci Ambientali, I-20126 Milan, Italy</t>
  </si>
  <si>
    <t>University of Milan</t>
  </si>
  <si>
    <t>Lab Glaciol &amp; Geophys Environm, BP96, F-38402 St Martin Dheres, France.</t>
  </si>
  <si>
    <t>bdelmonte@nest.it</t>
  </si>
  <si>
    <t>Maggi, Valter/E-1878-2014; Maggi, Valter/AAX-5728-2020; Delmonte, Barbara/L-2555-2015</t>
  </si>
  <si>
    <t>Maggi, Valter/0000-0001-6287-1213; Delmonte, Barbara/0000-0002-9074-2061</t>
  </si>
  <si>
    <t>10.1007/s00382-001-0193-9</t>
  </si>
  <si>
    <t>555JM</t>
  </si>
  <si>
    <t>WOS:000175791000002</t>
  </si>
  <si>
    <t>Carril, AF; Menéndez, CG; Nuñez, MN; Le Treut, H</t>
  </si>
  <si>
    <t>Mean flow-transient perturbation interaction in the Southern Hemisphere:: a simulation using a variable-resolution GCM</t>
  </si>
  <si>
    <t>GENERAL-CIRCULATION MODEL; SHALLOW-WATER EQUATIONS; HORIZONTAL RESOLUTION; STORM-TRACKS; CLIMATE SENSITIVITY; ANTARCTIC CLIMATE; WINTER; WAVES; PERFORMANCE; DEPENDENCE</t>
  </si>
  <si>
    <t>The ability of an atmospheric general circulation model to reproduce fundamental features of the wintertime extratropical Southern Hemisphere (SH) circulation is evaluated with emphasis on the daily variability of the SH mean flow and the mean flow-transient perturbations interaction. Two 10-year simulations using a new version of the LMDZ GCNI with a stretched,rid scheme centered at 45 degreesS and forced by climatological SST are performed: a high (144 x 73) and low (64 x 33) horizontal resolution runs. The performance of both simulations was determined by comparing several simulated fields (zonal wind, temperature, kinetic energy, transient eddy momentum and heat fluxes, Eliassen-Palin fluxes, Eady growth rate and baroclinic conversion term) against the European Centre for Medium Range Weather Forecast reanalyses (ERA). High and low-resolution simulations are similar in many respects, in particular, both experiments reproduce the main patterns of the southern extratropical large-scale circulation satisfactorily. Increasing resolution does not improve universally some spurious aspects of the low resolution simulation (e.g. the cold bias in the high polar troposphere, the debilitated subtropical jet, the low baroclinic conversion rate). Those aspects present little sensitivity to the model resolution. The interaction between transient eddies and zonal mean Row are examined. The low-resolution experiment is able to qualitatively represent the acceleration/deceleration of the mean flow by transient perturbations, south/north of 30 degreesS with an accuracy similar to that of the high-resolution experiment. Although both experiments represent the baroclinic structure of the mean flow satisfactorily, the model underestimates some transient properties due to the underestimation of the baroclinic conversion term in middle latitudes. Such misrepresentation does not improve with increasing resolution and is related to the relatively weak meridional temperature gradient and the inadequate geographical distribution of the eddy heat fluxes. In particular, the eddy kinetic energy is always underestimated. Eddy kinetic energy does not improve convincingly with increasing resolution, suggesting that the adequate representation of the storm tracks is highly influenced by the physical parametrizations.</t>
  </si>
  <si>
    <t>CNRS, LMD, Paris, France; CIMA, CONICET, UBA, Buenos Aires, DF, Argentina</t>
  </si>
  <si>
    <t>Ecole des Ponts ParisTech; Centre National de la Recherche Scientifique (CNRS); University of Buenos Aires; Consejo Nacional de Investigaciones Cientificas y Tecnicas (CONICET)</t>
  </si>
  <si>
    <t>Carril, AF (corresponding author), CNR, ISAO, Inst Sci Atmosfera &amp; Oceano, Bologna, Italy.</t>
  </si>
  <si>
    <t>Carril, Andrea F./GON-3361-2022</t>
  </si>
  <si>
    <t>Carril, Andrea F./0000-0003-3743-9685; Menendez, Claudio Guillermo/0000-0002-2779-7123</t>
  </si>
  <si>
    <t>10.1007/s00382-001-0203-y</t>
  </si>
  <si>
    <t>WOS:000175791000003</t>
  </si>
  <si>
    <t>Duchamp, C; Rouanet, JL; Barré, H</t>
  </si>
  <si>
    <t>Ontogeny of thermoregulatory mechanisms in king penguin chicks (Aptenodytes patagonicus)</t>
  </si>
  <si>
    <t>COMPARATIVE BIOCHEMISTRY AND PHYSIOLOGY A-MOLECULAR &amp; INTEGRATIVE PHYSIOLOGY</t>
  </si>
  <si>
    <t>6th International Workshop on Perinatal Development of Birds</t>
  </si>
  <si>
    <t>OCT 12-16, 2000</t>
  </si>
  <si>
    <t>FREE UNIV BERLIN, BERLIN, GERMANY</t>
  </si>
  <si>
    <t>FREE UNIV BERLIN</t>
  </si>
  <si>
    <t>metabolic rate; birds; shivering thermogenesis; non-shivering thermogenesis; electromyography; thermal conductance</t>
  </si>
  <si>
    <t>SHIVERING THERMOGENESIS; AGELAIUS-PHOENICEUS; ENERGY-METABOLISM; COLD; MUSCLE; ADAPTATION; ENDOTHERMY; GROWTH</t>
  </si>
  <si>
    <t>The rapid maturation of thermoregulatory mechanisms may be of critical importance for optimising chick growth and survival and parental energy investment under harsh climatic conditions. The ontogeny of thermoregulatory mechanisms was studied in growing king penguin chicks from hatching to the full emancipation observed at I month of age in the sub-Antarctic area (Crozet Archipelago). Newly hatched chicks showed small, but significant regulatory thermogenesis (21% rise in heat production assessed by indirect calorimetry), but rapidly became hypothermic. Within a few days, both resting ( + 32%) and peak ( + 52%) metabolic rates increased. The first week of life was characterised by a twofold rise in thermogenic capacity in the cold, while thermal insulation was not improved. During the second and third weeks of age, thermal insulation markedly rose (two-fold drop in thermal conductance) in relation to down growth, while resting heat production was slightly reduced (-13%). Shivering (assessed by electromyography) was visible right after hatching, although its efficiency was limited. Thermogenic efficiency of shivering increased five-fold with age during the first weeks of life, but there was no sign of non-shivering thermogenesis. We conclude that thermal emancipation of king penguin chicks may be primarily determined by improvement of thermal insulation after thermogenic processes have become sufficiently matured. Both insulative and metabolic adaptations are required for the rapid ontogeny of thermoregulation and thermal emancipation in growing king penguin chicks. (C) 2002 Elsevier Science Inc. All rights reserved.</t>
  </si>
  <si>
    <t>Univ Lyon 1, CNRS, Lab Physiol Regulat Energet Cellulaires &amp; Mol, F-69622 Villeurbanne, France</t>
  </si>
  <si>
    <t>Centre National de la Recherche Scientifique (CNRS); Universite Claude Bernard Lyon 1</t>
  </si>
  <si>
    <t>Univ Lyon 1, CNRS, Lab Physiol Regulat Energet Cellulaires &amp; Mol, 43 Bd 11 Novembre 1918, F-69622 Villeurbanne, France.</t>
  </si>
  <si>
    <t>claude.duchamp@univ-lyon1.fr</t>
  </si>
  <si>
    <t>1531-4332</t>
  </si>
  <si>
    <t>PII S1095-6433(02)00014-4</t>
  </si>
  <si>
    <t>10.1016/S1095-6433(02)00014-4</t>
  </si>
  <si>
    <t>534PK</t>
  </si>
  <si>
    <t>WOS:000174594600008</t>
  </si>
  <si>
    <t>Chown, SL; Addo-Bediako, A; Gaston, KJ</t>
  </si>
  <si>
    <t>Physiological variation in insects: large-scale patterns and their implications</t>
  </si>
  <si>
    <t>COMPARATIVE BIOCHEMISTRY AND PHYSIOLOGY B-BIOCHEMISTRY &amp; MOLECULAR BIOLOGY</t>
  </si>
  <si>
    <t>Symposium on Physiological and Biological Adaptations to Australasian and Southern African Environments</t>
  </si>
  <si>
    <t>JUL 30-AUG 03, 2000</t>
  </si>
  <si>
    <t>CAMBRIDGE, ENGLAND</t>
  </si>
  <si>
    <t>geographic variation; physiological ecology; species richness; macroecology; development</t>
  </si>
  <si>
    <t>DISCONTINUOUS GAS-EXCHANGE; SUB-ANTARCTIC CATERPILLAR; GEOGRAPHIC RANGE SIZE; BODY-SIZE; LATITUDINAL GRADIENTS; DROSOPHILA-MELANOGASTER; SPECIES-DIVERSITY; RAPOPORTS RULE; DESICCATION RESISTANCE; VENTILATORY PATTERNS</t>
  </si>
  <si>
    <t>In this paper we demonstrate how broad scale comparative physiology has an important role to play in informing a variety of assumptions made in macroecology. We do so by examining large-scale geographic variation in insect development, thermal tolerance and metabolic rate. From these studies, and those from the literature on insect water loss and thermoregulation, we show that there is often a bias to the geographic extent of available empirical data. Studies of cold hardiness are most usually undertaken at high latitudes, while investigations Of upper thermal tolerances and water loss are most common in warm arid regions. Likewise, we demonstrate that much variation in insect physiological tolerances is partitioned at higher taxonomic levels, which has important implications for comparative physiology. Intriguingly, data on the full range of variables we review are available for only three species. We also show that, despite its importance, body size is regularly reported in only some kinds of investigations (metabolic rate, water loss rate), whereas in others (upper lethal temperature, cold hardiness, development) this variable is often ignored. In short, although large-scale comparative physiology can contribute considerable understanding to both physiology and ecology, there is much that remains to be done. (C) 2002 Elsevier Science Inc. All rights reserved.</t>
  </si>
  <si>
    <t>Univ Pretoria, Dept Zool &amp; Entomol, ZA-0002 Pretoria, South Africa; Univ Sheffield, Dept Anim &amp; Plant Sci, Biodivers &amp; Macroecol Grp, Sheffield S10 2TN, S Yorkshire, England</t>
  </si>
  <si>
    <t>University of Pretoria; University of Sheffield</t>
  </si>
  <si>
    <t>Univ Stellenbosch, Dept Zool, Private Bag 11, ZA-7602 Matieland, South Africa.</t>
  </si>
  <si>
    <t>slchown@sun.ac.za</t>
  </si>
  <si>
    <t>Chown, Steven/ABD-7646-2021; , AddoBediako/AAJ-1584-2021; Chown, Steven L/H-3347-2011</t>
  </si>
  <si>
    <t>Addo-Bediako, Abraham/0000-0002-5055-8315</t>
  </si>
  <si>
    <t>1096-4959</t>
  </si>
  <si>
    <t>1879-1107</t>
  </si>
  <si>
    <t>COMP BIOCHEM PHYS B</t>
  </si>
  <si>
    <t>Comp. Biochem. Physiol. B-Biochem. Mol. Biol.</t>
  </si>
  <si>
    <t>PII S1096-4959(02)00017-9</t>
  </si>
  <si>
    <t>10.1016/S1096-4959(02)00017-9</t>
  </si>
  <si>
    <t>Biochemistry &amp; Molecular Biology; Zoology</t>
  </si>
  <si>
    <t>540BK</t>
  </si>
  <si>
    <t>WOS:000174908100003</t>
  </si>
  <si>
    <t>Phleger, CF; Nelson, MM; Mooney, BD; Nichols, PD</t>
  </si>
  <si>
    <t>Interannual and between species comparison of the lipids, fatty acids and sterols of Antarctic krill from the US AMLR Elephant Island survey area</t>
  </si>
  <si>
    <t>Antarctica; Euphausia superba; fatty acid; krill; sterol; triacylglycerol</t>
  </si>
  <si>
    <t>EUPHAUSIA-SUPERBA DANA; SEA-ICE EXTENT; SOUTH-GEORGIA; ECOLOGICAL INVESTIGATIONS; ZOOPLANKTON COMMUNITY; PHAEOCYSTIS-POUCHETII; DOCOSAHEXAENOIC ACID; THYSANOESSA-INERMIS; CALANUS-PROPINQUUS; CALANOIDES-ACUTUS</t>
  </si>
  <si>
    <t>Antarctic euphausiids, Euphausia superba, E. tricantha, E. frigida and Thysanoessa macrura were collected near Elephant I Island 1 during 1997 and 1998. Total lipid was highest in E. superba small juveniles (16 mg g(-1) wet mass), ranging from 12 to 15 mg in other euphausiids. Polar lipid (56-81% of total lipid) and triacylglycerol (12-38%) were the major lipids with wax esters (6%) only present in E. tricantha. Cholesterol was the major sterol (80-100% of total sterols) with desmosterol second in abundance (1-18%). 1997 T macrura and E. superba contained a more diverse sterol profile, including 24-nordehydrocholesterol (0.1-1.7%), trans-dehydrocholesterol (1.1-1.5%), brassicasterol (0.5-1.7%). 24-methylenecholesterol (0.1-0.4%) and two stanols (0.1-0.2%). Monounsaturated fatty acids included primarily 18:1(n-9)c (7-21%), 18:1(n-7)c (3-13%) and 16:1(n-7)c (2-7%). The main saturated fatty acids in krill were 16:0 (18-29%), 14:0 (2-15%) and 18:0 (1-13%). Highest eicosapentaenoic acid [EPA, 20:5 (n-3)] and docosahexaenoic acid [DHA, 22:6(n-3)] occurred in E. superba (EPA, 15-21%; DHA, 9-14%), and were less abundant in other krill. E. superba is a good source of EPA and DHA for consideration of direct or indirect use as a food item for human consumption. Lower levels of 18:4(n-3) in E. tricantha, E. frigida and T macrura (0.4-0.7% of total fatty acids) are more consistent with a carnivorous or omnivorous diet as compared with herbivorous E. superba (3.7-9.4%). The polyunsaturated fatty acid (PUFA) 18:5(n-3) and the very-long chain (VLC-PUFA), C-26 and C-28 PUFA, were not present in 1997 samples, but were detected at low levels in most 1998 euphausiids. Interannual differences in these biomarkers suggest greater importance of dinoflagellates or some other phytoplankton group in the Elephant Island area during 1998. The data have enabled between year comparisons of trophodynamic interactions of krill collected in the Elephant Island region, and will be of use to groups using signature lipid methodology. (C) 2002 Elsevier Science Inc. All rights reserved.</t>
  </si>
  <si>
    <t>San Diego State Univ, Dept Biol, San Diego, CA 92182 USA; Univ Tasmania, Dept Zool, Hobart, Tas 7001, Australia; CSIRO, Marine Res, Hobart, Tas 7001, Australia; Antarctic CRC, Hobart, Tas 7001, Australia</t>
  </si>
  <si>
    <t>California State University System; San Diego State University; University of Tasmania; Commonwealth Scientific &amp; Industrial Research Organisation (CSIRO)</t>
  </si>
  <si>
    <t>Phleger, CF (corresponding author), San Diego State Univ, Dept Biol, San Diego, CA 92182 USA.</t>
  </si>
  <si>
    <t>Nichols, Peter D/C-5128-2011; Nelson, Matthew M/A-6811-2016</t>
  </si>
  <si>
    <t>Nelson, Matthew/0000-0003-4889-3752</t>
  </si>
  <si>
    <t>PII S1096-4959(02)00021-0</t>
  </si>
  <si>
    <t>10.1016/S1096-4959(02)00021-0</t>
  </si>
  <si>
    <t>WOS:000174908100014</t>
  </si>
  <si>
    <t>Ohara, Y; Stern, RJ; Ishii, T; Yurimoto, H; Yamazaki, T</t>
  </si>
  <si>
    <t>Peridotites from the Mariana Trough: first look at the mantle beneath an active back-arc basin</t>
  </si>
  <si>
    <t>CONTRIBUTIONS TO MINERALOGY AND PETROLOGY</t>
  </si>
  <si>
    <t>MID-ATLANTIC RIDGE; ABYSSAL PERIDOTITES; SUBOCEANIC MANTLE; CHROMIAN SPINEL; ION-MICROPROBE; FRACTURE-ZONE; BASALTS; OCEAN; MAGMAS; LAVAS</t>
  </si>
  <si>
    <t>Two dives of the DSV Shinkai 6500 in the Mariana Trough back-arc basin in the western Pacific sampled back-arc basin mantle exposures. Reports of peridotite exposures in back-arc basin setting are very limited and the lack of samples has hindered our understanding of this important aspect of lithospheric evolution. The Mariana Trough is a slow-spreading ridge, and ultramafic exposures with associated gabbro dykes or sills are located within a segment boundary. Petrological data suggest that the Mariana Trough peridotites are moderately depleted residues after partial melting of the upper mantle. Although some peridotite samples are affected by small-scale metasomatism, there is no evidence of pervasive post-melting metasomatism or melt-mantle interaction. Spinel compositions plot in the field for abyssal peridotites. Clinopyroxenes show depletions in Ti, Zr, and REE that are intermediate between those documented for peridotites from the Vulcan and Bouvet fracture zones (the American-Antarctic and Southwest Indian ridges, respectively). The open-system melting model indicates that the Mariana Trough peridotite compositions roughly correspond to theoretical residual compositions after similar to7% near-fractional melting of a depleted MORB-type upper mantle with only little melt or fluid/mantle interactions. The low degree of melting is consistent with a low magma budget, resulting in ultramafic exposure. We infer that the mantle flow beneath the Mariana Trough Central Graben is episodic, resulting in varying magma supply rate at spreading segments.</t>
  </si>
  <si>
    <t>Hydrog Dept Japan, Ocean Res Lab, Tokyo 1040045, Japan; Univ Texas, Dept Geosci, Richardson, TX 75083 USA; Univ Tokyo, Ocean Res Inst, Tokyo 1648639, Japan; Tokyo Inst Technol, Dept Earth Sci, Tokyo 1528551, Japan; Natl Inst Adv Ind Sci &amp; Technol, Inst Marine Resources &amp; Environm, Tsukuba, Ibaraki 3058567, Japan</t>
  </si>
  <si>
    <t>University of Texas System; University of Texas Dallas; University of Tokyo; Tokyo Institute of Technology; National Institute of Advanced Industrial Science &amp; Technology (AIST)</t>
  </si>
  <si>
    <t>Ohara, Y (corresponding author), Woods Hole Oceanog Inst, Dept Geol &amp; Geophys, Woods Hole, MA 02543 USA.</t>
  </si>
  <si>
    <t>Stern, Robert/N-8344-2019; Facility, NENIMF/B-8811-2015; Yurimoto, Hisayoshi/S-9938-2018</t>
  </si>
  <si>
    <t>Stern, Robert/0000-0002-8083-4632; Yurimoto, Hisayoshi/0000-0003-0702-0533</t>
  </si>
  <si>
    <t>0010-7999</t>
  </si>
  <si>
    <t>CONTRIB MINERAL PETR</t>
  </si>
  <si>
    <t>Contrib. Mineral. Petrol.</t>
  </si>
  <si>
    <t>10.1007/s00410-001-0329-2</t>
  </si>
  <si>
    <t>Geochemistry &amp; Geophysics; Mineralogy</t>
  </si>
  <si>
    <t>545GE</t>
  </si>
  <si>
    <t>WOS:000175208100001</t>
  </si>
  <si>
    <t>Bowie, AR; Whitworth, DJ; Achterberg, EP; Mantoura, RFC; Worsfold, PJ</t>
  </si>
  <si>
    <t>Biogeochemistry of Fe and other trace elements (Al, Co, Ni) in the upper Atlantic Ocean</t>
  </si>
  <si>
    <t>iron; trace metals; Atlantic Ocean; distributions; atmospheric and benthic inputs; phytoplankton uptake</t>
  </si>
  <si>
    <t>CENTRAL NORTH PACIFIC; SURFACE WATERS; MARINE-PHYTOPLANKTON; DISSOLVED ALUMINUM; EASTERN ATLANTIC; SOUTH-ATLANTIC; CHEMILUMINESCENCE DETECTION; COASTAL PHYTOPLANKTON; ORGANIC COMPLEXATION; CONTINENTAL-CRUST</t>
  </si>
  <si>
    <t>Iron and other trace metals (Al, Co, Ni) were measured through the upper water column during two north-south transects of the Atlantic Ocean (approximately 50degreesN-50degreesS), from the United Kingdom (UK) to the Falkland Islands (September/October 1996) and from South Africa to the UK (May/June 1998). Total dissolvable iron (TD-Fe) concentrations in the surface layers (&lt; 200 m) of the, open Atlantic Ocean averaged 0.95 +/- 0.67 nM (n = 142) during the 1996 cruise and 1.08 +/- 0.59 nM (n = 160) during the 1998 cruise, with increased values in shelf waters at both extremes of the transects. Iron enrichments, fingerprinted via correlation with other trace metals, macronutrients and hydrography, correlated well with dry aerosol deposition off the west African continent and wet deposition in the Inter-Tropical Convergence Zone (ITCZ), with levels &gt; 2.2 nM observed in surface waters in these regions. Benthic fluxes provided a significant amount of Fe (2-38 nM) to the base of the water column in coastal zones. In addition, samples collected from one Atlantic Meridional Transect (AMT) expedition were re-analysed after a 16 month acidification period and showed significant increases over shipboard analyses (average values increasing to 2.26 +/- 1.50 nM), indicating the extended release of Fe from leachable particulate material in the stored samples. Detailed profiling through the euphotic zone revealed TD-Fe distributions that exhibited strong relationships with biological uptake, regeneration and water column hydrography, In equatorial and tropical North Atlantic waters, trace elemental distributions showed evidence of recent atmospheric deposition through a history of stratified mixed layers. (C) 2002 Elsevier Science Ltd. All rights reserved.</t>
  </si>
  <si>
    <t>Univ Plymouth, Dept Environm Sci, Plymouth Environm Res Ctr, Plymouth PL4 8AA, Devon, England; Plymouth Marine Lab, Plymouth PL1 3DH, Devon, England</t>
  </si>
  <si>
    <t>University of Plymouth; Plymouth Marine Laboratory</t>
  </si>
  <si>
    <t>Bowie, AR (corresponding author), Univ Tasmania, IASOS &amp; Antarctic CRC, GPO Box 252-80, Hobart, Tas 7001, Australia.</t>
  </si>
  <si>
    <t>andrew.bowie@utas.edu.au</t>
  </si>
  <si>
    <t>Achterberg, Eric P/C-5820-2009; Bowie, Andrew/C-8677-2013</t>
  </si>
  <si>
    <t>Worsfold, Paul/0000-0002-2262-7723; Bowie, Andrew/0000-0002-5144-7799</t>
  </si>
  <si>
    <t>PII S0967-0637(01)00061-9</t>
  </si>
  <si>
    <t>10.1016/S0967-0637(01)00061-9</t>
  </si>
  <si>
    <t>539KA</t>
  </si>
  <si>
    <t>WOS:000174868000001</t>
  </si>
  <si>
    <t>Garabato, ACN; Heywood, KJ; Stevens, DP</t>
  </si>
  <si>
    <t>Modification and pathways of Southern Ocean Deep Waters in the Scotia Sea</t>
  </si>
  <si>
    <t>Southern Ocean; Southwestern Atlantic; Scotia Sea; circulation; deep-water masses; water mixing</t>
  </si>
  <si>
    <t>ANTARCTIC CIRCUMPOLAR CURRENT; WEDDELL SEA; SOUTHWESTERN ATLANTIC; BOTTOM WATER; CIRCULATION; MASSES; STRATIFICATION; TRANSPORT; PASSAGE; FRONTS</t>
  </si>
  <si>
    <t>An unprecedented high-quality, quasi-synoptic hydrographic data set collected during the ALBATROSS cruise along the rim of the Scotia Sea is examined to describe the pathways of the deep water masses flowing through the region, and to quantify changes in their properties as they cross the sea. Owing to sparse sampling of the northern and southern boundaries of the basin, the modification and pathways of deep water masses in the Scotia Sea had remained poorly documented despite their global significance. Weddell Sea Deep Water (WSDW) of two distinct types is observed spilling over the South Scotia Ridge to the west and east of the western edge of the Orkney Passage. The colder and fresher type in the west. recently ventilated in the northern Antarctic Peninsula, flows westward to Drake Passage along the southern margin of the Scotia Sea while mixing intensely with eastward-flowing Circumpolar Deep Water (CDW) of the antarctic circumpolar current (ACC). Although a small fraction of the other WSDW type also spreads westward to Drake Passage, the greater part escapes the Scotia Sea eastward through the Georgia Passage and flows into the Malvinas Chasm via a deep gap northeast of South Georgia. A more saline WSDW variety from the South Sandwich Trench may leak into the eastern Scotia Sea through Georgia Passage, but mainly flows around the Northeast Georgia Rise to the northern Georgia Basin. In Drake Passage, the inflowing CDW displays a previously unreported bimodal property distribution, with CDW at the Subantarctic Front receiving a contribution of deep water from the subtropical Pacific, This bimodality is eroded away in the Scotia Sea by vigorous mixing with WSDW and CDW from the Weddell Gyre. The extent of ventilation follows a zonation that can be related to the CDW pathways and the frontal anatomy of the ACC. Between the Southern Boundary of the ACC and the Southern ACC Front, CDW cools by 0.15degreesC and freshens by 0.015 along isopycnals. The body of CDW in the region of the Polar Front splits after overflowing the North Scotia Ridge, with a fraction following the front south of the Falkland Plateau and another spilling over the plateau near 49.5degreesW. Its cooling (by 0.07degreesC) and freshening (by 0.008) in crossing the Scotia Sea is counteracted locally by NADW entraining southward near the Maurice Ewing Bank. CDW also overflows the North Scotia Ridge by following the Subantarctic Front through a passage just east of Burdwood Bank, and spills over the Falkland Plateau near 53degreesW with decreased potential temperature (by 0.03degreesC) and salinity (by 0.004). As a result of ventilation by Weddell Sea waters, the signature of the Southeast Pacific Deep Water (SPDW) fraction of CDW is largely erased in the Scotia Sea. A modified form of SPDW is detected escaping the sea via two distinct routes only: following the Southern, ACC Front through Georgia Passage; and skirting the eastern end of the Falkland Plateau after flowing through Shag Rocks Passage. (C) 2002 Elsevier Science Ltd. All rights reserved.</t>
  </si>
  <si>
    <t>Univ E Anglia, Sch Environm Sci, Norwich NR4 7TJ, Norfolk, England; Univ E Anglia, Sch Math, Norwich NR4 7TJ, Norfolk, England</t>
  </si>
  <si>
    <t>University of East Anglia; University of East Anglia</t>
  </si>
  <si>
    <t>Garabato, ACN (corresponding author), Univ E Anglia, Sch Environm Sci, Norwich NR4 7TJ, Norfolk, England.</t>
  </si>
  <si>
    <t>PII S0967-0637(01)00071-1</t>
  </si>
  <si>
    <t>WOS:000174868000004</t>
  </si>
  <si>
    <t>Labat, JP; Mayzaud, P; Dallot, S; Errhif, A; Razouls, S; Sabini, S</t>
  </si>
  <si>
    <t>Mesoscale distribution of zooplankton in the Sub-Antarctic Frontal system in the Indian part of the Southern Ocean: a comparison between optical plankton counter and net sampling</t>
  </si>
  <si>
    <t>Southern Ocean; zooplankton; biomass; size distribution; spatial variation; optical plankton counter; Sub-Antarctic Frontal system</t>
  </si>
  <si>
    <t>CALIFORNIA CURRENT; SIZE DISTRIBUTION; CALIBRATION; ABUNDANCE</t>
  </si>
  <si>
    <t>(Antartic Research (ANTARES) IV Cruise, January-February 1999). Distribution of zooplankton biovolume/ biomass in the Sub-Antarctic Frontal system is described for the Indian Ocean sector, northwest of Kerguelen Islands, with a comparison of two types of sampling techniques: WP2 net and optical plankton counter (OPC). During the ANTARES IV Cruise (January-February 1999), three zones were sampled: the Polar Frontal Zone (PFZ), south of the Sub-Antarctic Front; the Frontal Zone between the Sub-Tropical Front; and the Agulhas Front and the Sub-Tropical Zone, north of the main stream of the Agulhas Return Current. Copepods were the dominant group in all net samples regardless of the area considered. Maximum values were recorded in the PFZ with both net catches and OPC. A strong contrast in terms of population structure and biomass was observed between the zone south of the Sub-Antarctic Front and the zones to the north. The patterns of the zooplankton biovolume distribution by size confirmed this relationship. Biovolume 2D maps showed in this south area a more patchy distribution than in the other areas where a vertical gradient dominated. The OPC data are in fair agreement with net sample data and are spatially heterogenous in both size structure and biomass. (C) 2002 Elsevier Science Ltd. All rights reserved.</t>
  </si>
  <si>
    <t>Univ Paris 06, INSU, CNRS, Lab Oceanog Villefranche Mer,Observ Oceanol, F-06234 Villefranche Sur Mer, France; Lab Arago, UPMC, INSU, CNRS,Equipe Oceanog Biol, F-66650 Banyuls sur Mer, France</t>
  </si>
  <si>
    <t>Sorbonne Universite; Centre National de la Recherche Scientifique (CNRS); CNRS - National Institute for Earth Sciences &amp; Astronomy (INSU); Centre National de la Recherche Scientifique (CNRS); CNRS - National Institute for Earth Sciences &amp; Astronomy (INSU); Sorbonne Universite</t>
  </si>
  <si>
    <t>Univ Paris 06, INSU, CNRS, Lab Oceanog Villefranche Mer,Observ Oceanol, BP 28,Maitre Conferences, F-06234 Villefranche Sur Mer, France.</t>
  </si>
  <si>
    <t>jean-philippe.labat@obs-vlfr.fr</t>
  </si>
  <si>
    <t>PII S0967--637(01)00076-0</t>
  </si>
  <si>
    <t>10.1016/S0967-0637(01)00076-0</t>
  </si>
  <si>
    <t>WOS:000174868000006</t>
  </si>
  <si>
    <t>Barrett, JE; Virginia, RA; Wall, DH</t>
  </si>
  <si>
    <t>Trends in resin and KCl-extractable soil nitrogen across landscape gradients in Taylor Valley, Antarctica</t>
  </si>
  <si>
    <t>ECOSYSTEMS</t>
  </si>
  <si>
    <t>Antarctic soils; McMurdo Dry Valleys; nitrogen cycling; nitrification; landscape gradients; resin-exchange membranes</t>
  </si>
  <si>
    <t>MCMURDO DRY VALLEYS; COMMUNITY STRUCTURE; VICTORIA LAND; STREAMS; TRANSFORMATIONS; BIOGEOCHEMISTRY; BIODIVERSITY; ORIGIN; INVERTEBRATES; ENVIRONMENT</t>
  </si>
  <si>
    <t>Previous descriptions of soils in the McMurdo Dry Valleys, Antarctica, have focused on the dominance of abiotic controls rather than on nutrient cycling. Although free-living N-2-fixing and nitrifying microorganisms have been isolated in Antarctic soils, little is known about in situ nitrogen (N) cycling. We measured KCl-extractable NH4+ and NO3-, as well as anion resin exchangeable NO3-, across sediment-soil transects and in two positions on a hill slope in Taylor Valley, Antarctica. These landscapes provide gradients of soil moisture, salinity, and texture that influence invertebrate communities and organic matter dynamics. Assuming an N cycle dominated by abiotic inputs, we hypothesized that inorganic N content would be predominantly comprised Of NO3- and most strongly correlated to soil salinity, while NO3- flux (estimated by resin adsorption) would be most influenced by soil water content, salinity, and total soil NO3- concentrations. Our results were inconsistent with a physically dominated N cycle. in contrast to previous studies of Dry Valley soils, we found that NH4+ made up a large proportion of inorganic N. Total KCl-extractable N was correlated most strongly with total soil N and soil moisture. The most saline soils in the swale of a hill slope had the highest concentrations of NO3-, but we found no overall correlation between soil salinity and resin-exchangeable NO3- or KCl-extractable N. Resin-extractable NO3- was most strongly correlated with total soil N, soil water content, and KCl-extractable NH4+, suggesting that accumulation of NO3- in resins was influenced by the mineralization of organic matter and not strictly by ionic migration, as an abiotic-based model may have predicted. We conclude that biological N cycling is significant in some Dry Valley soils and that the dominance of biological vs physical influences over N cycling is controlled in part by the availability of soil moisture and organic matter.</t>
  </si>
  <si>
    <t>Dartmouth Coll, Environm Studies Program, Hanover, NH 03755 USA; Colorado State Univ, Nat Resource Ecol Lab, Ft Collins, CO 80523 USA</t>
  </si>
  <si>
    <t>Dartmouth College; Colorado State University</t>
  </si>
  <si>
    <t>Dartmouth Coll, Environm Studies Program, 6182 Steele Hall, Hanover, NH 03755 USA.</t>
  </si>
  <si>
    <t>John.E.Barrett@Dartmouth.edu</t>
  </si>
  <si>
    <t>Wall, Diana H/F-5491-2011; Barrett, John/D-5851-2016</t>
  </si>
  <si>
    <t>Barrett, John/0000-0002-7610-0505</t>
  </si>
  <si>
    <t>1432-9840</t>
  </si>
  <si>
    <t>1435-0629</t>
  </si>
  <si>
    <t>Ecosystems</t>
  </si>
  <si>
    <t>10.1007/s10021-001-0072-6</t>
  </si>
  <si>
    <t>Ecology</t>
  </si>
  <si>
    <t>554AD</t>
  </si>
  <si>
    <t>WOS:000175709800006</t>
  </si>
  <si>
    <t>Vetter, W; Schlabach, M; Kallenborn, R</t>
  </si>
  <si>
    <t>Evidence for the presence of natural halogenated hydrocarbons in southern Norwegian and polar air</t>
  </si>
  <si>
    <t>FRESENIUS ENVIRONMENTAL BULLETIN</t>
  </si>
  <si>
    <t>air samples; naturally produced organohalogens; heptachlorobipyrrole derivative Q1; brominated compounds; MHC-1; tribromoanisole; polar regions</t>
  </si>
  <si>
    <t>PERSISTENT ORGANOCHLORINES; ORGANOHALOGENS; CONTAMINANT; TROPOSPHERE; ETHERS; RANGE; Q1</t>
  </si>
  <si>
    <t>The presence of the natural heptachlorobipyrrole derivative Ql and brominated natural and anthropogenic com-pounds in ambient air samples from the Arctic, the Antarctic, as well as from Southern Norway was studied with the help of GC/ECNI-MS. Q1 was detected for the first time in air samples from the northern hemisphere. The samples from southern Norway also contained the mixed halogenated monoterpene MHC-l. However, the major brominated compound in Arctic, Antarctic and southern Norwegian air was 2,3,6-tribromoanisole (TBA), Typical TBA concentrations in southern Norway in May 1999 (similar to30 pg/m(3)) were in the range of alpha-HCH (35 pg/m(3)), HCB (105 pg/m(3)), and lindane (25 pg/m(3)). In addition, up to 20 potential aromatic brominated compounds were detected at lower abundance, some of which may be identical with halogenated anisoles previously described in literature work. There is some evidence that most of them do contain bromine but not chlorine. A natural source for these compounds is likely.</t>
  </si>
  <si>
    <t>Univ Jena, Dept Food Chem, D-07743 Jena, Germany</t>
  </si>
  <si>
    <t>Friedrich Schiller University of Jena</t>
  </si>
  <si>
    <t>Univ Jena, Dept Food Chem, Dornburger Str 25, D-07743 Jena, Germany.</t>
  </si>
  <si>
    <t>b5wave@uni-jena.de</t>
  </si>
  <si>
    <t>Kallenborn, Roland/F-8368-2011; Schlabach, Martin/J-3348-2013</t>
  </si>
  <si>
    <t>Kallenborn, Roland/0000-0003-1703-2538; Schlabach, Martin/0000-0003-3705-7943</t>
  </si>
  <si>
    <t>PARLAR SCIENTIFIC PUBLICATIONS (P S P)</t>
  </si>
  <si>
    <t>FREISING</t>
  </si>
  <si>
    <t>ANGERSTR. 12, 85354 FREISING, GERMANY</t>
  </si>
  <si>
    <t>1018-4619</t>
  </si>
  <si>
    <t>1610-2304</t>
  </si>
  <si>
    <t>FRESEN ENVIRON BULL</t>
  </si>
  <si>
    <t>Fresenius Environ. Bull.</t>
  </si>
  <si>
    <t>544BC</t>
  </si>
  <si>
    <t>WOS:000175137500001</t>
  </si>
  <si>
    <t>Bevan, RM; Butler, PJ; Woakes, AJ; Boyd, IL</t>
  </si>
  <si>
    <t>The energetics of Gentoo Penguins, Pygoscelis papua, during the breeding season</t>
  </si>
  <si>
    <t>FUNCTIONAL ECOLOGY</t>
  </si>
  <si>
    <t>diving; foraging; heart rate; metabolic rate; temperature</t>
  </si>
  <si>
    <t>DAILY ENERGY-EXPENDITURE; FIELD METABOLIC RATES; DOUBLY LABELED WATER; BLACK-BROWED ALBATROSSES; HEART-RATE; SOUTH GEORGIA; OXYGEN-CONSUMPTION; BODY-TEMPERATURE; AYTHYA-FULIGULA; TUFTED DUCKS</t>
  </si>
  <si>
    <t>1. The food consumption of an animal. both at the individual and the population level, is an essential component for assessing the impact of that animal on its ecosystem. As such, measurements of the energy requirements of marine top-predators are extremely valuable as they can be used to estimate these food requirements. 2. The present study used heart rate to estimate the rate of energy expenditure of gentoo penguins during the breeding season. The average daily metabolic rate (ADMR) of penguins when one adult was necessarily present at the nest (incubating eggs or guarding small chicks; IG, 4.76 W kg(-1)) was significantly lower than that when both parents forage concurrently during the major period of chick growth (CR: 6.88 W kg(-1)). 3. The ADMR of a bird was found to be dependent on a number of factors, including the day within the breeding season and the percentage time that the bird spent foraging during that day. 4. When they were ashore, the estimated metabolic rate of IG birds (3.94 W kg(-1)) was significantly lower than that of CR birds (5.93 W kg(-1)). However, the estimated metabolic rates when the birds were at sea during these periods were essentially the same (8.58 W kg(-1)). 5. The heart rate recorded when the penguins were submerged (128 beats min(-1)) was significantly higher than that recorded from resting animals when ashore (89 beats min(-1)). However, it was lower than that recorded from birds that were swimming in a water channel (177 beats min(-1)). This might indicate that, although primarily aerobic in nature, there was an anaerobic component to metabolism during diving. An alternative interpretation is that the metabolic requirement during diving was lower than when the birds,were swimming with access to air. 6. There was a significant decline in abdominal temperature. from 38.8 degreesC at the start of a diving bout to 36.2 degreesC at the end, which may, indicate a reduction in overall metabolic rate during submersion. This in turn may explain the lowered heart rate. 7. In the present study. we have shown that the metabolic rate of the gentoo penguin varies during the breeding season. The relatively constant metabolic rate of the birds when at sea could represent an upper physiological limit that the birds are unable to exceed. If so, it will only be possible for the birds to increase foraging effort by diving more frequently and/or for longer periods thus reducing their foraging efficiency (the energy gained during foraging vs. energy spent gaining that food). During years when food is scarce, this reduction in foraging efficiency may have a profound influence on the reproductive productivity of the gentoo penguin.</t>
  </si>
  <si>
    <t>Univ Birmingham, Sch Biosci, Birmingham B15 2TT, W Midlands, England; British Antarctic Survey, Cambridge CB3 OET, England</t>
  </si>
  <si>
    <t>University of Birmingham; UK Research &amp; Innovation (UKRI); Natural Environment Research Council (NERC); NERC British Antarctic Survey</t>
  </si>
  <si>
    <t>Bevan, RM (corresponding author), Univ Newcastle Upon Tyne, Dept Agr &amp; Environm Sci, Newcastle Upon Tyne NE1 7RU, Tyne &amp; Wear, England.</t>
  </si>
  <si>
    <t>Woakes, Anthony/JYD-0387-2024</t>
  </si>
  <si>
    <t>0269-8463</t>
  </si>
  <si>
    <t>FUNCT ECOL</t>
  </si>
  <si>
    <t>Funct. Ecol.</t>
  </si>
  <si>
    <t>10.1046/j.1365-2435.2002.00622.x</t>
  </si>
  <si>
    <t>549VN</t>
  </si>
  <si>
    <t>WOS:000175467600004</t>
  </si>
  <si>
    <t>Maurice, PA; McKnight, DM; Leff, L; Fulghum, JE; Gooseff, M</t>
  </si>
  <si>
    <t>Direct observations of aluminosilicate weathering in the hyporheic zone of an Antarctic Dry Valley stream</t>
  </si>
  <si>
    <t>GEOCHIMICA ET COSMOCHIMICA ACTA</t>
  </si>
  <si>
    <t>SOUTHERN VICTORIA LAND; MICROBIAL COMMUNITIES; DISSOLUTION KINETICS; MINERAL DISSOLUTION; BIOTITE DISSOLUTION; TAYLOR VALLEY; RATES; PHLOGOPITE; GEOCHEMISTRY; BACTERIA</t>
  </si>
  <si>
    <t>This study focused on chemical weathering and bacterial ecology in the hyporheic zone of Green Creek, a McMurdo Dry Valley (Antarctica) stream. An in situ microcosm approach was used to observe dissolution features on the basal-plane surface of muscovite mica. Four mica chips were buried in December 1999 and dug up 39 d later. Atomic force microscopy (AFM) of the basal-plane surfaces revealed small, anhedral similar to10-Angstrom-deep etch pits covering similar to4% of the surfaces, from which an approximate basal-plane dissolution rate of 8.3 x 10(-18) mol muscovite cm(-2) s(-1) was calculated (on the basis of the geometric surface area) for the study period. This is an integrated initial dissolution rate on a fresh surface exposed for a relatively brief period over the austral summer and should not be compared directly to other long-term field rates. The observation of weathering features on mica agrees with previous stream- and watershed-scale studies in the Dry Valleys, which have demonstrated that weathering occurs where liquid water is present, despite the cold temperatures. AFM imaging of mica surfaces revealed biofilms including numerous small (&lt;1 mu m long), rounded. oblong bacteria. The AFM observations agreed well with X-ray photoelectron microscopy results showing increased organic C and N. Bacteriologic analysis of the hyporheic zone sediments also revealed &lt;1-mum-long bacteria. alpha-Proteobacteria were observed, consistent with the oligotrophic conditions of the hyporheic zone. Nitrate-reducing bacteria were found, in agreement with a previous tracer test at Green Creek that suggested nitrate reduction occurs in the hyporheic zone. The results of this study thus provide direct evidence of dynamic geochemical and microbial processes in the hyporheic zone of a Dry Valley stream despite the extreme conditions; such processes were inferred previously from stream-scale hydrogeochemical studies. Copyright (C) 2002 Elsevier Science Ltd.</t>
  </si>
  <si>
    <t>Univ Notre Dame, Dept Civil Engn &amp; Geol Sci, Notre Dame, IN 46556 USA; INSTAAR, Boulder, CO 80309 USA; Kent State Univ, Dept Biol Sci, Kent, OH 44242 USA; Kent State Univ, Dept Chem, Kent, OH 44242 USA</t>
  </si>
  <si>
    <t>University of Notre Dame; University System of Ohio; Kent State University; Kent State University Kent; Kent State University Salem; University System of Ohio; Kent State University; Kent State University Kent; Kent State University Salem</t>
  </si>
  <si>
    <t>Univ Notre Dame, Dept Civil Engn &amp; Geol Sci, Notre Dame, IN 46556 USA.</t>
  </si>
  <si>
    <t>pmaurice@nd.edu</t>
  </si>
  <si>
    <t>Gooseff, Michael/B-9273-2008; Gooseff, Michael N/N-6087-2015</t>
  </si>
  <si>
    <t>Gooseff, Michael N/0000-0003-4322-8315; MCKNIGHT, DIANE/0000-0002-4171-1533</t>
  </si>
  <si>
    <t>0016-7037</t>
  </si>
  <si>
    <t>1872-9533</t>
  </si>
  <si>
    <t>GEOCHIM COSMOCHIM AC</t>
  </si>
  <si>
    <t>Geochim. Cosmochim. Acta</t>
  </si>
  <si>
    <t>PII S0016-7037(00)00890-0</t>
  </si>
  <si>
    <t>10.1016/S0016-7037(01)00890-0</t>
  </si>
  <si>
    <t>543JV</t>
  </si>
  <si>
    <t>WOS:000175099600004</t>
  </si>
  <si>
    <t>Maia, M; Arkani-Hamed, J</t>
  </si>
  <si>
    <t>The support mechanism of the young Foundation Seamounts inferred from bathymetry and gravity</t>
  </si>
  <si>
    <t>GEOPHYSICAL JOURNAL INTERNATIONAL</t>
  </si>
  <si>
    <t>depth of compensation; free-air gravity; hotspots; isostasy; mid-occan ridges; oceanic lithosphere</t>
  </si>
  <si>
    <t>PACIFIC-ANTARCTIC RIDGE; MID-ATLANTIC RIDGE; ELASTIC THICKNESS; SATELLITE ALTIMETRY; ISOSTATIC RESPONSE; FLEXURAL RIGIDITY; MARINE GRAVITY; INDIAN-OCEAN; LITHOSPHERE; VOLCANISM</t>
  </si>
  <si>
    <t>The youngest volcanoes of the Foundation volcanic chain were built on a plate less than 5 Myr near the Pacific-Antarctic ridge (PAR) axis, The progressive approach oft lie Spreading ridge to the hotspot during the last 10 Myr resulted in the building of the edifices upon a progressively younger plate. Estimate soft the effective elastic thickness, T-c, using two independent methods show that the elastic thickness of the plate diminishes towards the Spreading ridge, from 5-3 km to 2-0 km. The spatial variation of T-c correlates with a significant change in both the morphology and the volume of the volcanoes, suggesting an important control of the elastic thickness oil the volcanic processes, The reduction in T, also explains conveniently the reduction in the distance between the North and the South Systems, the double volcanic line that characterizes the young part of the Foundation chain, in the direction of Young loading ages. The South System formed at the top of a flexural bulge created by the emplacement of the North System, the main volcanic line. The low T-c estimate for the South System and the shape of the Bouguer anomalies confirm this model. The effective elastic thicknesses obtained in this study are well matched by isotherms between 200 C and 300 C and Support the hypothesis of a weak plate. Three mechanisms possibly acted to lower the plate rigidity: Re-heating of a 'normal' plate by the hotspot (North System): local fracturing (South System) and the creation of a thin lithosphere at the PAR axis by the coupling of a hotspot and the ridge-related melting zones (near-ridge volcanoes).</t>
  </si>
  <si>
    <t>IUEM, UMR CNRS Domaines Ocean 6538, Plouzane, France; McGill Univ, Montreal, PQ, Canada</t>
  </si>
  <si>
    <t>Universite de Bretagne Occidentale; Institut Universitaire Europeen de la Mer (IUEM); McGill University</t>
  </si>
  <si>
    <t>IUEM, UMR CNRS Domaines Ocean 6538, Plouzane, France.</t>
  </si>
  <si>
    <t>Marcia.Maia@sdt.univ-brest.fr</t>
  </si>
  <si>
    <t>Maia, Marcia/A-7076-2010</t>
  </si>
  <si>
    <t>0956-540X</t>
  </si>
  <si>
    <t>1365-246X</t>
  </si>
  <si>
    <t>GEOPHYS J INT</t>
  </si>
  <si>
    <t>Geophys. J. Int.</t>
  </si>
  <si>
    <t>10.1046/j.1365-246X.2002.01635.x</t>
  </si>
  <si>
    <t>554JH</t>
  </si>
  <si>
    <t>WOS:000175731700017</t>
  </si>
  <si>
    <t>Helffrich, G; Wiens, DA; Vera, E; Barrientos, S; Shore, P; Robertson, S; Adaros, R</t>
  </si>
  <si>
    <t>A teleseismic shear-wave splitting study to investigate mantle flow around South America and implications for plate-driving forces</t>
  </si>
  <si>
    <t>mantle flow; shear-wave splitting</t>
  </si>
  <si>
    <t>AUSTRALIAN-ANTARCTIC DISCORDANCE; ANISOTROPY BENEATH; SEISMIC ANISOTROPY; MOTION; DEFORMATION; MECHANISM; TECTONICS; RAYLEIGH; DYNAMICS; PARALLEL</t>
  </si>
  <si>
    <t>Closure of the Pacific Ocean basin by the convergence of its surrounding plates, some of which have deep continental roots, implies that there is net mass flux Out Of the mantle under the Pacific. Here we report on a shear-wave splitting study designed to test the prediction that there should be flow around its southern margin. Our results show no evidence for present-day flow around the tip of southern South America. Instead, the results suggest present-day flow directions in the southern Atlantic that parallel the South American absolute plate motion direction, even under Antarctica. The results also provide evidence for absolute plate motion driven by the basal drag of ocean basin-scale mantle flow, and suggest that similar to200 km thick flow boundary layers exist under South America and Antarctica, and also demonstrate that mantle flow directions cannot be reliably inferred from present-day plate morphology.</t>
  </si>
  <si>
    <t>Tokyo Inst Technol, Meguro Ku, Tokyo 1528551, Japan; Washington Univ, St Louis, MO USA; Univ Chile, Dept Geofis, Santiago, Chile</t>
  </si>
  <si>
    <t>Tokyo Institute of Technology; Washington University (WUSTL); Universidad de Chile</t>
  </si>
  <si>
    <t>Helffrich, G (corresponding author), Univ Bristol, Wills Mem Bldg,Queens Rd, Bristol BS8 1RJ, Avon, England.</t>
  </si>
  <si>
    <t>Vera, Emilio/I-6309-2016; Wiens, Douglas/J-9259-2016</t>
  </si>
  <si>
    <t>Vera, Emilio/0000-0003-1088-0470; Wiens, Douglas/0000-0002-5169-4386; Helffrich, George/0000-0002-7363-4552</t>
  </si>
  <si>
    <t>F1</t>
  </si>
  <si>
    <t>F7</t>
  </si>
  <si>
    <t>10.1046/j.1365-246X.2002.01636.x</t>
  </si>
  <si>
    <t>WOS:000175731700001</t>
  </si>
  <si>
    <t>Arrigo, KR; van Dijken, GL; Ainley, DG; Fahnestock, MA; Markus, T</t>
  </si>
  <si>
    <t>Ecological impact of a large Antarctic iceberg</t>
  </si>
  <si>
    <t>ROSS SEA; ICE SHELVES; PHAEOCYSTIS; DYNAMICS; RETREAT; FUTURE</t>
  </si>
  <si>
    <t>[1] Satellite imagery has been used to document for the first time the potential for large icebergs to substantially alter the dynamics of a marine ecosystem. The B-15 iceberg (similar to 10,000 km(2)), which calved off the Ross Ice Shelf in the biologically productive southwestern Ross Sea, Antarctica, restricted the normal drift of pack ice, resulting in heavier spring/summer pack ice cover than previously recorded. Extensive ice cover reduced both the area suitable for phytoplankton growth and the length of the algal growing season. Consequently, primary productivity throughout the region was &gt;40% below normal, which changed both the abundance and behavior of upper trophic level organisms.</t>
  </si>
  <si>
    <t>Stanford Univ, Dept Geophys, Stanford, CA 94305 USA; HT Harvey &amp; Associates, San Jose, CA 95118 USA; Univ Maryland, ESSIC, College Pk, MD 20742 USA; NASA GSFC UMBC JCET, Greenbelt, MD 20771 USA</t>
  </si>
  <si>
    <t>Stanford University; University System of Maryland; University of Maryland College Park; University System of Maryland; University of Maryland Baltimore County; National Aeronautics &amp; Space Administration (NASA); NASA Goddard Space Flight Center</t>
  </si>
  <si>
    <t>Stanford Univ, Dept Geophys, Stanford, CA 94305 USA.</t>
  </si>
  <si>
    <t>Fahnestock, Mark A/N-2678-2013; Van Dijken, Gert L/C-5276-2011; Markus, Thorsten/D-5365-2012</t>
  </si>
  <si>
    <t>Van Dijken, Gert/0000-0002-9587-6317; Arrigo, Kevin/0000-0002-7364-876X</t>
  </si>
  <si>
    <t>APR 1</t>
  </si>
  <si>
    <t>10.1029/2001GL014160</t>
  </si>
  <si>
    <t>609DE</t>
  </si>
  <si>
    <t>WOS:000178886700056</t>
  </si>
  <si>
    <t>Bodeker, GE; Struthers, H; Connor, BJ</t>
  </si>
  <si>
    <t>Dynamical containment of Antarctic ozone depletion</t>
  </si>
  <si>
    <t>POTENTIAL VORTICITY; VORTEX; TRENDS; TOMS; HOLE</t>
  </si>
  <si>
    <t>[1] Over the past two decades both the severity of Antarctic ozone depletion and the size of the Antarctic ozone hole have increased. A satellite-based, assimilated total column ozone data set and NCEP/NCAR meteorological fields from 1979 to 2000 have been used to examine the long-term evolution of the ozone hole and its dependence on the size of the dynamical vortex and the size of the region of low temperatures. Equivalent latitude zonal means of these data have been calculated to show more directly the expansion of the Antarctic ozone hole and its encroachment on the vortex edge. While the size of the dynamical vortex and the vortex region with temperatures below 195 K (where polar stratospheric clouds are expected to form) has changed little, the area with ozone below 220 DU (the contour defining the ozone hole) has steadily increased. Over the 20 year period, the severity of the ozone depletion within the core of the vortex has increased. This, combined with the nature of the mixing regimes within the polar vortex may explain the increase in the area of the ozone hole.</t>
  </si>
  <si>
    <t>Natl Inst Water &amp; Atmospher Res, Lauder, Central Otago, New Zealand</t>
  </si>
  <si>
    <t>Bodeker, GE (corresponding author), Natl Inst Water &amp; Atmospher Res, Private Bag 50061, Omakau 9182, Central Otago, New Zealand.</t>
  </si>
  <si>
    <t>g.bodeker@niwa.cri.nz; h.struthers@niwa.cri.nz; b.connor@niwa.cri.nz</t>
  </si>
  <si>
    <t>Bodeker, Greg E/A-8870-2008</t>
  </si>
  <si>
    <t>Bodeker, Gregory/0000-0003-1094-5852</t>
  </si>
  <si>
    <t>10.1029/2001GL014206</t>
  </si>
  <si>
    <t>WOS:000178886700062</t>
  </si>
  <si>
    <t>Cainey, J; Harvey, M</t>
  </si>
  <si>
    <t>Dimethylsulfide, a limited contributor to new particle formation in the clean marine boundary layer</t>
  </si>
  <si>
    <t>CLOUD CONDENSATION NUCLEI; AEROSOL-PARTICLES; SOUTHWEST PACIFIC; SOUTHERN-OCEAN; CAPE-GRIM; SULFIDE; SULFUR; SIZE; AIR; METHANESULFONATE</t>
  </si>
  <si>
    <t>[1] Condensation sinks for sulfuric acid are predicted using measured aerosol number distributions for five sites, Baring Head and Cape Grim (clean marine), Tarawa (equatorial clean marine), the East Antarctic Plateau and the free troposphere (ultra clean). The condensation sink determined at each site allowed an estimate of the minimum level of sulfur dioxide required for new sulfate particle formation at that site. The sulfur dioxide concentration required for new particle production is nearly two orders of magnitude larger than the observed average at the sites assessed, except the free troposphere. In the marine boundary layer any available sulfur dioxide is converted heterogeneously to sulfate via the condensation sink. This implies that a significant proportion of the sub-micron sulfate aerosol in the marine boundary layer is likely to have been entrained from the free troposphere, where a limited condensation sink and sufficiently high levels of sulfur species can support homogeneous nucleation.</t>
  </si>
  <si>
    <t>Natl Inst Water &amp; Atmospher Res, Wellington, New Zealand</t>
  </si>
  <si>
    <t>NIWA, 301 Evans Bay Parade,Greta Pt,POB 14-901, Wellington, New Zealand.</t>
  </si>
  <si>
    <t>j.cainey@niwa.cri.nz</t>
  </si>
  <si>
    <t>Harvey, Mike/A-5354-2010</t>
  </si>
  <si>
    <t>Harvey, Mike/0000-0002-0979-0227</t>
  </si>
  <si>
    <t>10.1029/2001GL014439</t>
  </si>
  <si>
    <t>WOS:000178886700032</t>
  </si>
  <si>
    <t>Ogawa, T; Nishitani, N; Sato, N; Yamagishi, H; Yukimatu, AS</t>
  </si>
  <si>
    <t>Upper mesosphere summer echoes detected with the Antarctic Syowa HF radar</t>
  </si>
  <si>
    <t>DYNAMICS</t>
  </si>
  <si>
    <t>[1] Peculiar HF radar echoes observed at Syowa Station, Antarctica (69.0degreesS, 39.6degreesE) are reported. The echoes occurred in summer at slant ranges between 180 (first range gate) and 315 km under very quiet geomagnetic conditions. They are characterized by a duration of less than 80 min, quasi-periodic oscillations of velocity and echo power with periods of 5-20 min, velocities between -40 and +20 ms(-1), and narrow spectral widths less than 40 ms(-1). From data of June, July, December 1997, and January 1998, we identified such echoes on 4 days in December and January (summer) but not in June and July (winter). Although range resolution of the HF radar (45 km) is very poor, we believe that our echoes are Antarctic Polar Mesosphere Summer Echoes (PMSE), relying on that the echo characteristics are very similar to the Arctic PMSE.</t>
  </si>
  <si>
    <t>Nagoya Univ, Solar Terr Environm Lab, Aichi 4428507, Japan; Natl Inst Polar Res, Itabashi Ku, Tokyo 1738515, Japan</t>
  </si>
  <si>
    <t>Nagoya University; Research Organization of Information &amp; Systems (ROIS); National Institute of Polar Research (NIPR) - Japan</t>
  </si>
  <si>
    <t>Ogawa, T (corresponding author), Nagoya Univ, Solar Terr Environm Lab, Aichi 4428507, Japan.</t>
  </si>
  <si>
    <t>Nishitani, Nozomu/R-8831-2019</t>
  </si>
  <si>
    <t>Nishitani, Nozomu/0000-0001-9842-5119</t>
  </si>
  <si>
    <t>10.1029/2001GL014094</t>
  </si>
  <si>
    <t>WOS:000178886700003</t>
  </si>
  <si>
    <t>Souchez, R; Petit, JR; Jouzel, J; Simoes, J; de Angelis, M; Barkov, N; Stiévenard, M; Vimeux, F; Sleewaegen, S; Lorrain, R</t>
  </si>
  <si>
    <t>Highly deformed basal ice in the Vostok core, Antarctica -: art. no. 1136</t>
  </si>
  <si>
    <t>SUBGLACIAL LAKE VOSTOK</t>
  </si>
  <si>
    <t>[1] Our paper documents the build-up of a highly deformed basal ice layer in the basal part of the Vostok ice core. This is done mainly on the basis of an isotopic composition investigation of the ice. Complex deformation in the lower 228 m of the ice sheet has resulted in folding and intermixing of ice at a submetric scale and, for the upper part of this basal sequence, in interbedding of ice layers from distinct origins at a larger scale. This complex deformation occurred at a temperature largely below the pressure-melting point. The basal ice layer has built upwards and size-selective incorporation of bed material into the ice has taken place. The documentation of this complex basal deformation has implications for the maximum age of ice that will be useful in paleoclimate studies and for ice sheet dynamics.</t>
  </si>
  <si>
    <t>Free Univ Brussels, Dept Sci Terre, Brussels, Belgium; Lab Glaciol &amp; Geophys Environm, F-38402 St Martin Dheres, France; CEA Saclay, Lab Sci Climat &amp; Environm, CNRS, UMR 1572, F-91191 Gif Sur Yvette, France; Arctic &amp; Antarctic Res Inst, St Petersburg 199397, Russia</t>
  </si>
  <si>
    <t>Universite Libre de Bruxelles; Universite Paris Saclay; CEA; Centre National de la Recherche Scientifique (CNRS); Arctic &amp; Antarctic Research Institute</t>
  </si>
  <si>
    <t>Free Univ Brussels, Fac Sci, Dept Sci Terre &amp; Environm, CP 160-03,50 Av FD Roosevelt, B-1050 Brussels, Belgium.</t>
  </si>
  <si>
    <t>glaciol@ulb.ac.be</t>
  </si>
  <si>
    <t>Simoes, Jefferson Cardia/D-7232-2013</t>
  </si>
  <si>
    <t>Simoes, Jefferson Cardia/0000-0001-5555-3401</t>
  </si>
  <si>
    <t>10.1029/2001GL014192</t>
  </si>
  <si>
    <t>WOS:000178886700024</t>
  </si>
  <si>
    <t>Jarman, SN; Elliott, NG; Nicol, S; McMinn, A</t>
  </si>
  <si>
    <t>Genetic differentiation in the Antarctic coastal krill Euphausia crystallorophias</t>
  </si>
  <si>
    <t>HEREDITY</t>
  </si>
  <si>
    <t>crustacea; genetics; krill; population; SSCP; swarm</t>
  </si>
  <si>
    <t>MEGANYCTIPHANES-NORVEGICA; SUPERBA DANA; CONFORMATION POLYMORPHISM; POPULATION-STRUCTURE; MITOCHONDRIAL-DNA; RAPID ISOLATION; PRYDZ BAY; SEQUENCES; REGION; SWARMS</t>
  </si>
  <si>
    <t>The population genetics of the Antarctic neritic krill species Euphausia crystallorophias was examined by nucleotide sequence variation in its mitochondrial DNA. A 616 base pair region of the cytochrome c oxidase subunit I (COI) gene was screened for mutations by single-strand conformational polymorphism (SSCP) combined with restriction digestion. E. crystallorophias caught in three different regions of the Antarctic coastline were used - two samples from the Mertz Glacier Polynya and one sample each from the western side of the Antarctic Peninsula and from the Davis Sea. Significant genetic differences between krill samples were identified. However, the extent of these differences did not correlate with the degree of geographic separation between the sampling sites. This suggests that the genetic structuring may be the result of small-scale differentiation rather than differentiation between resident populations in separate parts of the Southern Ocean. The possibility that genetic differences between samples within a region are as important as differences between regions has implications for other studies of krill population genetics.</t>
  </si>
  <si>
    <t>CSIRO Marine Res, Hobart, Tas 7001, Australia; Univ Tasmania, Inst Antarctic &amp; So Ocean Studies, Hobart, Tas 7001, Australia; Australian Antarctic Div, Kingston, Tas 7050, Australia</t>
  </si>
  <si>
    <t>Commonwealth Scientific &amp; Industrial Research Organisation (CSIRO); University of Tasmania; Australian Antarctic Division</t>
  </si>
  <si>
    <t>CSIRO Marine Res, GPO Box 1538, Hobart, Tas 7001, Australia.</t>
  </si>
  <si>
    <t>Simon.Jarman@marine.csiro.au</t>
  </si>
  <si>
    <t>McMinn, Andrew/A-9910-2008; Jarman, Simon/H-9265-2016</t>
  </si>
  <si>
    <t>Jarman, Simon/0000-0002-0792-9686</t>
  </si>
  <si>
    <t>0018-067X</t>
  </si>
  <si>
    <t>1365-2540</t>
  </si>
  <si>
    <t>Heredity</t>
  </si>
  <si>
    <t>10.1038/sj.hdy.6800041</t>
  </si>
  <si>
    <t>562TT</t>
  </si>
  <si>
    <t>WOS:000176215600010</t>
  </si>
  <si>
    <t>Phillips, RA; Patterson, D; Shimmings, P</t>
  </si>
  <si>
    <t>Increased use of ponds by breeding natterjack toads, Bufo calamita, following management</t>
  </si>
  <si>
    <t>HERPETOLOGICAL JOURNAL</t>
  </si>
  <si>
    <t>toad; habitat management; amphibian conservation</t>
  </si>
  <si>
    <t>BRITAIN; COMPETITION; POPULATION; TADPOLES; DECLINE; DENSITY</t>
  </si>
  <si>
    <t>Wildfowl &amp; Wetlands Trust, Caerlaverock DG1 4RS, Dumfriesshire, Scotland</t>
  </si>
  <si>
    <t>Phillips, RA (corresponding author), British Antarctic Survey, Madingley Rd, Cambridge CB3 0ET, England.</t>
  </si>
  <si>
    <t>BRITISH HERPETOL SOC</t>
  </si>
  <si>
    <t>C/O ZOOL SOC LONDON REGENTS PARK, LONDON NW1 4RY, ENGLAND</t>
  </si>
  <si>
    <t>0268-0130</t>
  </si>
  <si>
    <t>HERPETOL J</t>
  </si>
  <si>
    <t>Herpetolog. J.</t>
  </si>
  <si>
    <t>595DY</t>
  </si>
  <si>
    <t>WOS:000178092600005</t>
  </si>
  <si>
    <t>Barlow, KE; Croxall, JP</t>
  </si>
  <si>
    <t>Provisioning behaviour of Macaroni Penguins Eudyptes chrysolophus</t>
  </si>
  <si>
    <t>IBIS</t>
  </si>
  <si>
    <t>BREEDING ROYAL-PENGUINS; SOUTH GEORGIA; PYGOSCELIS-PAPUA; ADELIE PENGUINS; ROCKHOPPER PENGUINS; CHINSTRAP PENGUINS; FORAGING ECOLOGY; DIVING BEHAVIOR; ANTARCTIC KRILL; BIRD-ISLAND</t>
  </si>
  <si>
    <t>Understanding how parental expenditure reflects food availability and influences reproductive output is a key part of studies of breeding performance. Provisioning behaviour is an important aspect of parental expenditure. We show that Macaroni Penguins Eudyptes chrysolophus have clear sex-specific differences in provisioning behaviour. Females provision chicks throughout rearing and at higher rates than males, which only participate in the later stages. Female provisioning is consistent throughout chick-rearing and appears to relate to a threshold rate governing whether or not chicks survive. The additional expenditure by males (but not females) during the creche period influenced chick growth and fledging mass of survivors. We suggest a very simple model to account for these sex-specific differences and effects. Interannual variation in parental expenditure resulted in differences in reproductive output between years. Years of lowest expenditure resulted in lowest growth rate of chicks, Sex-specific differences in provisioning were similar among years, however, with a consistent proportion of expenditure by males.</t>
  </si>
  <si>
    <t>British Antarctic Survey, Nat Environm Res Council, Cambridge CB3 0ET, England</t>
  </si>
  <si>
    <t>Barlow, KE (corresponding author), British Antarctic Survey, Nat Environm Res Council, Madingley Rd, Cambridge CB3 0ET, England.</t>
  </si>
  <si>
    <t>BRITISH ORNITHOLOGISTS UNION</t>
  </si>
  <si>
    <t>TRING</t>
  </si>
  <si>
    <t>C/O NATURAL HISTORY MUSEUM, SUB-DEPT ORNITHOLOGY, TRING HP23 6AP, HERTS, ENGLAND</t>
  </si>
  <si>
    <t>0019-1019</t>
  </si>
  <si>
    <t>Ibis</t>
  </si>
  <si>
    <t>10.1046/j.1474-919X.2002.00046.x</t>
  </si>
  <si>
    <t>Ornithology</t>
  </si>
  <si>
    <t>542VC</t>
  </si>
  <si>
    <t>WOS:000175064100008</t>
  </si>
  <si>
    <t>Korneliussen, RJ; Ona, E</t>
  </si>
  <si>
    <t>An operational system for processing and visualizing multi-frequency acoustic data</t>
  </si>
  <si>
    <t>ICES JOURNAL OF MARINE SCIENCE</t>
  </si>
  <si>
    <t>scrutinize; echo integration; multi-frequency; combined-frequency echogram</t>
  </si>
  <si>
    <t>SOUND-SCATTERING; TARGET STRENGTH; SPECIES IDENTIFICATION; SAMPLING ZOOPLANKTON; ANTARCTIC KRILL; INDIVIDUAL FISH; FISHERIES; VOLUME</t>
  </si>
  <si>
    <t>Calibrated and digitized data from two or more discrete echosounder frequencies call be combined for the purpose of separating and extracting the acoustic scattering from zooplankton and fish in mixed recordings. This method is also useful for quantifying the relative contribution of each frequency to the total acoustic-backscattering when scrutinizing records in large-scale, acoustic Surveys. Echosounder hardware requirements are defined which would permit the ideal extraction of such information. These include calibration, transducer specification, pulse resolution and digital representation of the signals. During this initial Study a special version of the Simrad EK500 multi-frequency, split-beam echosounder and the Bergen Echo Integrator (BEI) post-processing system were used. The echosounder transmitted pulses simultaneously at four frequencies, 18, 38, 120 and 200 kHz and transferred the received signals to the post-processing system in calibrated, raw, digitized format. Methods arc described for echogram manipulation and for the construction of new, synthetic, combined frequency [c(f)] echograms. Examples of extracted scattering information from mixed layers of fish and small scattering-organisms, such as copepods and euphausiids, are shown, and the potential of the method is discussed. (C) 2002 International Council for the Exploration of the Sea. Published by Elsevier Science Ltd. All rights reserved.</t>
  </si>
  <si>
    <t>Inst Marine Res, N-5817 Bergen, Norway</t>
  </si>
  <si>
    <t>Institute of Marine Research - Norway</t>
  </si>
  <si>
    <t>Inst Marine Res, POB 1870, N-5817 Bergen, Norway.</t>
  </si>
  <si>
    <t>rolf@imr.no</t>
  </si>
  <si>
    <t>1054-3139</t>
  </si>
  <si>
    <t>1095-9289</t>
  </si>
  <si>
    <t>ICES J MAR SCI</t>
  </si>
  <si>
    <t>ICES J. Mar. Sci.</t>
  </si>
  <si>
    <t>10.1006/jmsc.2001.1168</t>
  </si>
  <si>
    <t>Fisheries; Marine &amp; Freshwater Biology; Oceanography</t>
  </si>
  <si>
    <t>564VV</t>
  </si>
  <si>
    <t>WOS:000176335000005</t>
  </si>
  <si>
    <t>Collins, MA; Yau, C; Guilfoyle, F; Bagley, P; Everson, I; Priede, IG; Agnew, D</t>
  </si>
  <si>
    <t>Assessment of stone crab (Lithodidae) density on the South Georgia slope using baited video cameras</t>
  </si>
  <si>
    <t>Paralomis formosa; spinosissima; scavenging</t>
  </si>
  <si>
    <t>RED KING CRAB; PARALOMIS-GRANULOSA ANOMURA; BEAGLE CHANNEL; BUCCINUM-UNDATUM; DEMERSAL FISHES; ABUNDANCE; AREA; RECRUITMENT; ATTRACTION; GROWTH</t>
  </si>
  <si>
    <t>During January 2000 a baited video camera system was deployed fifteen times at depths of 719-1518 m around the Subantarctic island of South Georgia. Four species of lithodid (Anomura: Lithodidae) crab (Paralomis formosa, P. spinosissima, Lithodes sp., and Neolithodes diomedeae) were attracted to the baits of which Paralomis formosa was the most abundant. Using arrival rate at baits, predictions of odour plume size. and observations of walking speed the abundance of the stone crab. Paralomis formosa, was estimated. Numbers of crabs increased rapidly following bait emplacement, with total numbers observed in the 4.9 m(2) field of view exceeding 50 within 200 minutes on three occasions. Current speed Was used to predict the area of the odour plume, and by integrating the area to account for scavenger speed the effective area of the odour plume was obtained. The density of crabs. estimated from the increase in crab numbers per unit area of odour plume, averaged 8313 individuals km(-2) (range 1100-25 600). Density was not significantly correlated with depth, temperature. or current speed and variability was attributed to substrate form. (C) 2002 International Council for the Exploration of the Sea. Published by Elsevier Science Ltd. All rights reserved.</t>
  </si>
  <si>
    <t>Univ Aberdeen, Dept Zool, Aberdeen AB24 2TZ, Scotland; British Antarctic Survey, Cambridge CB3 0ET, England; Univ London Imperial Coll Sci Technol &amp; Med, Royal Sch Mines, Renewable Resources Assessment Grp, London SW7 2BP, England</t>
  </si>
  <si>
    <t>University of Aberdeen; UK Research &amp; Innovation (UKRI); Natural Environment Research Council (NERC); NERC British Antarctic Survey; Imperial College London</t>
  </si>
  <si>
    <t>Univ Aberdeen, Dept Zool, Tillydrone Ave, Aberdeen AB24 2TZ, Scotland.</t>
  </si>
  <si>
    <t>m.a.collins@abdn.ac.uk</t>
  </si>
  <si>
    <t>, Martin/ABE-6728-2020; Collins, Martin A/J-8560-2017</t>
  </si>
  <si>
    <t>, Martin/0000-0001-7132-8650; Priede, Imants/0000-0002-5064-9751</t>
  </si>
  <si>
    <t>10.1006/jmsc.2001.1167</t>
  </si>
  <si>
    <t>WOS:000176335000011</t>
  </si>
  <si>
    <t>Jaworski, A; Kamler, E</t>
  </si>
  <si>
    <t>Development of a bioenergetics model for fish embryos and larvae during the yolk feeding period</t>
  </si>
  <si>
    <t>bioenergetics model; Oncorhynchus mykiss; Chondrostoma nasus; Cyprinus carpio; Thica mica; Clarias gariepinus</t>
  </si>
  <si>
    <t>CATFISH CLARIAS-GARIEPINUS; TEMPERATURE-INDUCED CHANGES; AFRICAN CATFISH; FOOD-CONSUMPTION; VALIDATION; SURVIVAL; GROWTH</t>
  </si>
  <si>
    <t>A mechanistic model of an energy budget in fish embryos and yolk-sac larvae was developed using data for five freshwater fish species: rainbow trout Oncorhynchus mykiss, nase Chondrostoma nasus, carp Cyprinus carpio, tench Tinea tinca and African catfish Clarias gariepinus, based on the existing models for adult and juvenile fishes. The model simulates changes in the components of the budget under various conditions. Besides the effects of body mass and temperature on consumption and metabolic rate, the dependence of ration size oil amount of available yolk and initial egg size was implemented in the model. The model parameters were found through optimization. A sensitivity analysis of the model was conducted by varying its parameters and observing changes in the output. A comparative analysis showed that the values generated by the model closely approximated independent empirical observations. Simulations of energy budgets demonstrated that the overall pattern of energy partitioning was the same for different species, irrespective of egg size and temperature preferences. Most energy was allocated to body growth. Clarias gariepinus showed the fastest growth and had the highest yolk conversion efficiency. (C) 2002 Published by Elsevier Science Ltd on behalf of The Fisheries Society of the British Isles.</t>
  </si>
  <si>
    <t>Sea Fisheries Res Inst, PL-71550 Szczecin, Poland; Polish Acad Sci, Dept Antarctic Biol, PL-02141 Warsaw, Poland</t>
  </si>
  <si>
    <t>Polish Academy of Sciences</t>
  </si>
  <si>
    <t>Jaworski, A (corresponding author), Marine Res Inst, Skulagata 4,POB 1390, IS-121 Reykjavik, Iceland.</t>
  </si>
  <si>
    <t>Jaworski, Andrzej/HSG-0877-2023</t>
  </si>
  <si>
    <t>10.1006/jfbi.2002.1873</t>
  </si>
  <si>
    <t>568LC</t>
  </si>
  <si>
    <t>WOS:000176542400001</t>
  </si>
  <si>
    <t>Walker, ADM; Baker, KB; Pinnock, M; Dudeney, JR; Rash, JPS</t>
  </si>
  <si>
    <t>Radar observations of magnetospheric activity during extremely quiet solar wind conditions</t>
  </si>
  <si>
    <t>JOURNAL OF GEOPHYSICAL RESEARCH-SPACE PHYSICS</t>
  </si>
  <si>
    <t>magnetospheric convection; HF radar; quiet magnetosphere</t>
  </si>
  <si>
    <t>INTERPLANETARY MAGNETIC-FIELD; HIGH-LATITUDE CONVECTION; IONOSPHERE; CONJUGATE; BOUNDARY</t>
  </si>
  <si>
    <t>[1] During a period of extremely quiet solar wind conditions from 8 to 10 March 1997, strong activity was observed by the Southern Hemisphere Auroral Radar Experiment Super Dual Auroral Radar Network radars in the Antarctic premidnight ionosphere. This activity took the form of quasiperiodic flow bursts with ionospheric drift velocities exceeding 2 km s(-1). Data from the Satellite Experiments Simultaneous with Antarctic Measurements (SESAME) automated geophysical observatories in Antarctica and Defense Meteorological Satellite Program and Polar satellites are used with the radar data to study the convection flow in the southern polar ionosphere at the time of these flow bursts. The study shows that the bursts occurred with an approximate period of 12 min. Their direction was westward, and they were superimposed on a background westward flow. In the premidnight sector this is interpreted as a flow associated with dipolarization of the magnetotail tail field. There is a band of strong particle precipitation associated with the flow bursts. The location suggests that they occur deep in the magnetotail and cannot be associated with any lobe reconnection. They are at a latitude near the region where a viscously driven convection cell is expected to exist, and their sense is that of the return convection flow in such a cell. The results suggest that there is an internal magnetospheric mechanism for sporadic energy release in the magnetotail that need not be associated with changes in solar wind reconnection on the magnetopause.</t>
  </si>
  <si>
    <t>Univ Natal, Dept Phys, Space Phys Res Inst, Sch Pure &amp; Appl Phys, ZA-4041 Durban, South Africa; Johns Hopkins Univ, Appl Phys Lab, Laurel, MD 20723 USA; British Antarctic Survey, Cambridge CB3 ET0, England</t>
  </si>
  <si>
    <t>University of Kwazulu Natal; Johns Hopkins University; Johns Hopkins University Applied Physics Laboratory; UK Research &amp; Innovation (UKRI); Natural Environment Research Council (NERC); NERC British Antarctic Survey</t>
  </si>
  <si>
    <t>Univ Natal, Dept Phys, Space Phys Res Inst, Sch Pure &amp; Appl Phys, ZA-4041 Durban, South Africa.</t>
  </si>
  <si>
    <t>walker@scifs1.und.ac.za; Kile_Baker@jhuapl.edu; mpi@pcmail.nerc-bas.ac.uk; jrdu@pcmail.nerc-bas.ac.uk; rash@scifs1.und.ac.za</t>
  </si>
  <si>
    <t>Walker, David/K-6906-2016</t>
  </si>
  <si>
    <t>Walker, David/0000-0002-4581-752X</t>
  </si>
  <si>
    <t>2169-9380</t>
  </si>
  <si>
    <t>2169-9402</t>
  </si>
  <si>
    <t>J GEOPHYS RES-SPACE</t>
  </si>
  <si>
    <t>J. Geophys. Res-Space Phys.</t>
  </si>
  <si>
    <t>A4</t>
  </si>
  <si>
    <t>10.1029/2001JA000063</t>
  </si>
  <si>
    <t>609MH</t>
  </si>
  <si>
    <t>WOS:000178908800010</t>
  </si>
  <si>
    <t>Furuya, H; Hochberg, FG</t>
  </si>
  <si>
    <t>New species of Dicyemennea (Phylum: Dicyemida) in deep-water Graneledone (Mollusca: Cephalopoda: Octopoda) from the Antarctic</t>
  </si>
  <si>
    <t>JOURNAL OF PARASITOLOGY</t>
  </si>
  <si>
    <t>Two new species of dicyemids are described from 2 species of deep benthic cephalopods, Graneledone antarctica and G. macrotyla, collected in the Southern Ocean south of the Antarctic Convergence. Dicyemennea bathybenthum n. sp. was found in G. antarctica. It is a medium-sized dicyemid whose length does not exceed 1,000 mum. The calotte is bluntly rounded or conical in small individuals, but the shape becomes discoidal in large individuals. Nematogens and vermiform embryos have 23 peripheral cells, An anterior abortive axial cell is present in vermiform embryos. Other stages in the life cycle were not observed. Dicyemennea dorycephalum n. sp. was found in G. macrotyla. It is a medium to large dicyemid that rarely exceeds 4,000 mum. The calcite is distinctly pointed, similar in shape to a spearhead. Vermiform stages typically have either 25 or 27 peripheral cells. An anterior abortive axial cell is present in vermiform embryos. Infusoriform embryos have 37 cells, the refringent bodied, are solid in composition, and 2 nuclei are present in each urn cell.</t>
  </si>
  <si>
    <t>Santa Barbara Museum Nat Hist, Dept Invertebrate Zool, Santa Barbara, CA 93105 USA</t>
  </si>
  <si>
    <t>Santa Barbara Museum Nat Hist, Dept Invertebrate Zool, 2559 Puesta Sol Rd, Santa Barbara, CA 93105 USA.</t>
  </si>
  <si>
    <t>fghochberg@sbnature2.org</t>
  </si>
  <si>
    <t>0022-3395</t>
  </si>
  <si>
    <t>1937-2345</t>
  </si>
  <si>
    <t>J PARASITOL</t>
  </si>
  <si>
    <t>J. Parasitol.</t>
  </si>
  <si>
    <t>10.2307/3285584</t>
  </si>
  <si>
    <t>546UX</t>
  </si>
  <si>
    <t>WOS:000175294300021</t>
  </si>
  <si>
    <t>Stössel, A; Yang, K; Kim, SJ</t>
  </si>
  <si>
    <t>On the role of sea ice and convection in a global ocean model</t>
  </si>
  <si>
    <t>ANTARCTIC CIRCUMPOLAR CURRENT; GENERAL-CIRCULATION MODEL; BOTTOM WATER FORMATION; DEEP CONVECTION; MIXED-LAYER; MEAN CIRCULATION; WEDDELL SEA; SENSITIVITY; HEAT; THERMOHALINE</t>
  </si>
  <si>
    <t>An earlier estimate regarding the possible impact of sea ice on deep-ocean water mass properties and the global thermohaline circulation in a coupled sea ice-ocean general circulation model (OGCM) is updated. Compared to the earlier application, the main upgrade is a subgrid-scale plume-convection parameterization that replaces conventional grid-cell-wide convective adjustment. The different treatment of convection leads to some noticeable differences in some of the repeated sensitivity experiments. For example, in an experiment where sea ice salinity is assumed to be that of the upper ocean, thus neglecting the primary effect of sea ice formation and melting on the ocean's buoyancy forcing, Antarctic Bottom Water formation comes essentially to a halt, the global deep-ocean properties and thermohaline circulation thus being almost solely determined by North Atlantic Deep Water. The much weaker impact in the earlier estimate turns out to be mainly due to excessive open-ocean convection in the Southern Ocean, rendering that region susceptible to the open-ocean polynya mode. The associated melting in such polynyas leads to an enhancement of convection in a salty sea ice experiment, thus obscuring the effect of neglected brine release in coastal polynyas. Besides underscoring the necessity of a careful treatment of sea ice and convection in the Southern Ocean of a global OGCM, this study indicates that new-ice formation around Antarctica has a much larger effect on global deep-ocean properties and circulation than previously estimated.</t>
  </si>
  <si>
    <t>Texas A&amp;M Univ, Dept Oceanog, College Stn, TX 77843 USA; Univ Victoria, Canadian Ctr Climate Modelling &amp; Anal, Victoria, BC, Canada</t>
  </si>
  <si>
    <t>Texas A&amp;M University System; Texas A&amp;M University College Station; University of Victoria; Environment &amp; Climate Change Canada; Canadian Centre for Climate Modelling &amp; Analysis (CCCma)</t>
  </si>
  <si>
    <t>achim@advect.tamu.edu</t>
  </si>
  <si>
    <t>10.1175/1520-0485(2002)032&lt;1194:OTROSI&gt;2.0.CO;2</t>
  </si>
  <si>
    <t>535CL</t>
  </si>
  <si>
    <t>WOS:000174627600006</t>
  </si>
  <si>
    <t>Nakatsubo, T</t>
  </si>
  <si>
    <t>Predicting the impact of climatic warming on the carbon balance of the moss Sanionia uncinata on a maritime Antarctic island</t>
  </si>
  <si>
    <t>JOURNAL OF PLANT RESEARCH</t>
  </si>
  <si>
    <t>Antarctic; carbon balance; climatic warming; moss; photosynthesis; Sanionia uncinata</t>
  </si>
  <si>
    <t>NET PHOTOSYNTHESIS; BRYOPHYTES; RESPIRATION; TEMPERATURE; EXCHANGE; HABITATS; LICHENS; LAND</t>
  </si>
  <si>
    <t>The effects of climatic factors, especially those of temperature, on the carbon balance of the mossy Sanionia uncinata were examined on King George Island in the maritime Antarctic. Net photosynthesis (P-n) and dark respiration rates of two colonies (A and B) were measured with a portable infrared gas analyzer. Colony A showed small P, compared with its dark respiration rates throughout the growing season. Colony B showed much higher net photosynthetic rates, but the dark respiration rates of the two colonies did not differ significantly. Net photosynthetic rate determined at light saturation was almost constant over a wide temperature range, from 5degrees to 15degreesC, while the dark respiration was strongly affected by temperature. To assess the impact of warming on the carbon balance of the moss, cumulative carbon gain of the moss was calculated using a simulation model for the main part of the growing season. The results suggest that climatic warming may cause a reduction of carbon gain in some relatively photosynthetically inactive moss colonies.</t>
  </si>
  <si>
    <t>Hiroshima Univ, Grad Sch Biosphere Sci, Dept Environm Dynam &amp; Management, Higashihiroshima 7398521, Japan</t>
  </si>
  <si>
    <t>Hiroshima University</t>
  </si>
  <si>
    <t>Nakatsubo, T (corresponding author), Hiroshima Univ, Grad Sch Biosphere Sci, Dept Environm Dynam &amp; Management, Higashihiroshima 7398521, Japan.</t>
  </si>
  <si>
    <t>Nakatsubo, Takayuki/V-4520-2019</t>
  </si>
  <si>
    <t>Nakatsubo, Takayuki/0000-0003-3329-0123</t>
  </si>
  <si>
    <t>SPRINGER-VERLAG TOKYO</t>
  </si>
  <si>
    <t>3-3-13, HONGO, BUNKYO-KU, TOKYO, 113-0033, JAPAN</t>
  </si>
  <si>
    <t>0918-9440</t>
  </si>
  <si>
    <t>J PLANT RES</t>
  </si>
  <si>
    <t>J. Plant Res.</t>
  </si>
  <si>
    <t>10.1007/s102650200014</t>
  </si>
  <si>
    <t>543CX</t>
  </si>
  <si>
    <t>WOS:000175084600004</t>
  </si>
  <si>
    <t>Datta, BK; Velayutham, G; Goud, AP</t>
  </si>
  <si>
    <t>Fuel cell power source for a cold region</t>
  </si>
  <si>
    <t>JOURNAL OF POWER SOURCES</t>
  </si>
  <si>
    <t>7th Grov Fuel Cell Symposium</t>
  </si>
  <si>
    <t>SEP 11-13, 2001</t>
  </si>
  <si>
    <t>LONDON, ENGLAND</t>
  </si>
  <si>
    <t>low temperature applications; hydrogen storage; system design</t>
  </si>
  <si>
    <t>Electric power generation at Maitri-the Indian Antarctic station is based on a conventional diesel generator. In spite of the high reliability and simplicity of operation, the main disadvantages of this kind of power source are its pollution potential and fuel transportation costs. In a place like Antarctica environmental protection requirements are of prime importance. Apart from gas pollution, they also suffer from various other problems such as degradation of performance due to sub-zero temperature of operation, noise pollution, solidification of lubricants and mechanical wear and tear. Fuel cells find an ideal application for alternate energy solution, and can maintain the pristine nature of Antarctica. With this objective in mind, Research &amp; Development Establishment (Engineers), Pune, Defence Research &amp; Development Organisation, Ministry of Defence, Government of India joined hands with Centre for Electro-Chemical &amp; Energy Research, SPIC Science Foundation, Chennai and developed three prototype 500 W, 12 V, PEMFC fuel cell power sources for this application. PEMFC has been chosen for study and experimentation at Antarctica because the solid electrolyte Nafion-117 is used in this cell and the electro-chemical reaction is exothermic so that the fuel cell can be activated at low temperature. PEMFC was first installed and successfully demonstrated during the XVII Indian Antarctic Expedition. Further studies continued during the XVIII Indian Antarctic Expedition and a series of scientific experiments were conducted in the areas of optimisation of humidification, temperature for reactants (hydrogen and oxygen), elimination of existing humidification system, feasibility of provision of air-cooling system in lieu of water cooling system, humidifcation of gases using membrane as a medium, charging/discharging characteristics of a metal hydride container for hydrogen storage, and performance of a dc-dc converter and static inverter under sub-zero temperature of operation. Based on the results of these experiments, the design of the fuel cell power source for cold region application has been finalised. The paper deals with the design criteria and design factors to be considered for the fuel cell power source for cold region application and details of tests and test results that led to the final design concept for such an application. The paper also deals with a proposed hybrid power plant taking into account the exploitation of wind energy with a fuel cell and generation of hydrogen by an electrolyser and provision of hydrogen storage. (C) 2002 Published by Elsevier Science B.V.</t>
  </si>
  <si>
    <t>R&amp;DE, Pune 411015, Maharashtra, India; SPIC Sci Fdn, Guindy 600032, Chennai, India</t>
  </si>
  <si>
    <t>Datta, BK (corresponding author), R&amp;DE, Pune 411015, Maharashtra, India.</t>
  </si>
  <si>
    <t>0378-7753</t>
  </si>
  <si>
    <t>J POWER SOURCES</t>
  </si>
  <si>
    <t>J. Power Sources</t>
  </si>
  <si>
    <t>PII S0378-7753(01)01024-2</t>
  </si>
  <si>
    <t>10.1016/S0378-7753(01)01024-2</t>
  </si>
  <si>
    <t>Chemistry, Physical; Electrochemistry; Energy &amp; Fuels; Materials Science, Multidisciplinary</t>
  </si>
  <si>
    <t>Chemistry; Electrochemistry; Energy &amp; Fuels; Materials Science</t>
  </si>
  <si>
    <t>547QG</t>
  </si>
  <si>
    <t>WOS:000175342800051</t>
  </si>
  <si>
    <t>Joseph, B; Legras, B</t>
  </si>
  <si>
    <t>Relation between kinematic boundaries, stirring, and barriers for the Antarctic polar vortex</t>
  </si>
  <si>
    <t>JOURNAL OF THE ATMOSPHERIC SCIENCES</t>
  </si>
  <si>
    <t>ADVECTED PASSIVE SCALAR; CHAOTIC ADVECTION; MIXING PROCESSES; VELOCITY-FIELDS; LOBE DYNAMICS; TRANSPORT; STRATOSPHERE; SYSTEMS; FLOWS; EVOLUTION</t>
  </si>
  <si>
    <t>Maximum stretching lines in the lower stratosphere around the Antarctic polar vortex are diagnosed using a method based on finite-size Lyapunov exponents. By analogy with the mathematical results known for simple dynamical systems, these curves are identified as stable and unstable manifolds of the underlying hyperbolic structure of the flow. For the first time, the exchange mechanism associated with lobe dynamics is characterized using atmospheric analyzed winds. The tangling manifolds form a stochastic layer around the vortex. It is found that fluid is not only expelled from this layer toward the surf zone but also is injected inward from the surf zone, through a process similar to the turnstile mechanism in lobe dynamics. The vortex edge, defined as the location of the maximum gradient in potential vorticity or tracer, is found to be the southward (poleward) envelope of this stochastic layer. Exchanges with the inside of the vortex are therefore largely decoupled from those, possibly intense, exchanges between the stochastic layer and the surf zone. It is stressed that using the kinematic boundary defined by the hyperbolic points and the manifolds as an operational definition of vortex boundary is not only unpractical but also leads to spurious estimates of exchanges. The authors anticipate that more accurate dynamical systems tools are needed to analyze stratospheric transport in terms of lobe dynamics.</t>
  </si>
  <si>
    <t>Meteorol Dynam Lab, UMR8539, F-75231 Paris 05, France</t>
  </si>
  <si>
    <t>Sorbonne Universite; Centre National de la Recherche Scientifique (CNRS); CNRS - National Institute for Earth Sciences &amp; Astronomy (INSU)</t>
  </si>
  <si>
    <t>Legras, B (corresponding author), Meteorol Dynam Lab, UMR8539, 24 Rue Lhomond, F-75231 Paris 05, France.</t>
  </si>
  <si>
    <t>Legras, Bernard/HNI-8473-2023; Legras, Bernard/AAE-1352-2019</t>
  </si>
  <si>
    <t>Legras, Bernard/0000-0002-3756-7794</t>
  </si>
  <si>
    <t>0022-4928</t>
  </si>
  <si>
    <t>J ATMOS SCI</t>
  </si>
  <si>
    <t>J. Atmos. Sci.</t>
  </si>
  <si>
    <t>10.1175/1520-0469(2002)059&lt;1198:RBKBSA&gt;2.0.CO;2</t>
  </si>
  <si>
    <t>533JC</t>
  </si>
  <si>
    <t>WOS:000174525200004</t>
  </si>
  <si>
    <t>Bell, JJ; Barnes, DKA; Shaw, C</t>
  </si>
  <si>
    <t>Branching dynamics of two species of arborescent demosponge: the effect of flow regime and bathymetry</t>
  </si>
  <si>
    <t>JOURNAL OF THE MARINE BIOLOGICAL ASSOCIATION OF THE UNITED KINGDOM</t>
  </si>
  <si>
    <t>SEDIMENT-REJECTION; LOUGH INE; SPONGE; MORPHOLOGY; GROWTH; TRANSPLANTATION; ACCLIMATION; ORGANISMS; RESPONSES; PATTERNS</t>
  </si>
  <si>
    <t>A series of measurements were taken from 50 random examples of the arborescent sponges Raspailia rainosa and Stelligera stuposa at a number of sites and depths at Lough Hyne, Co. Cork, Ireland. Sites ranged from fast flowing habitats, experiencing little sediment settlement, to the converse where current flow was extremely slight and sediment settlement rates high. Depth intervals at which sponges were measured ranged from 6 to 24 m. Sponges of buth species varied with respect to measurements taken and the growth proportions (ratios of measurements taken). The greatest morphological differences occurred between depth and current extremes. However, at the most sedimented site (24 m) branching complexity of both species actually decreased in opposition to the proposed current models. It is discussed that simple morphologies (such as singly dichotomized sponges) may be better suited to extremely sedimented regimes being more erect than larger, more complex specimens. Other biological factors that may limit branching complexity are considered and emphasis is placed upon the possible inadequacies of community or group level models of morphological adaptation.</t>
  </si>
  <si>
    <t>Univ Glamorgan, Sch Appl Sci, Pontypridd CF37 1DL, M Glam, Wales; British Antarctic Survey, Cambridge CB3 0ET, England</t>
  </si>
  <si>
    <t>University of South Wales; UK Research &amp; Innovation (UKRI); Natural Environment Research Council (NERC); NERC British Antarctic Survey</t>
  </si>
  <si>
    <t>Univ Glamorgan, Sch Appl Sci, Pontypridd CF37 1DL, M Glam, Wales.</t>
  </si>
  <si>
    <t>jbell2@glam.ac.uk</t>
  </si>
  <si>
    <t>Bell, James/0000-0001-9996-945X</t>
  </si>
  <si>
    <t>0025-3154</t>
  </si>
  <si>
    <t>1469-7769</t>
  </si>
  <si>
    <t>J MAR BIOL ASSOC UK</t>
  </si>
  <si>
    <t>J. Mar. Biol. Assoc. U.K.</t>
  </si>
  <si>
    <t>10.1017/S0025315402005465</t>
  </si>
  <si>
    <t>546DV</t>
  </si>
  <si>
    <t>WOS:000175257400015</t>
  </si>
  <si>
    <t>Aoki, T; Aoki, T; Fukabori, M; Takao, T</t>
  </si>
  <si>
    <t>Characteristics of UV-B irradiance at Syowa Station, Antarctica: Analyses of the measurements and comparison with numerical simulations</t>
  </si>
  <si>
    <t>JOURNAL OF THE METEOROLOGICAL SOCIETY OF JAPAN</t>
  </si>
  <si>
    <t>ULTRAVIOLET-RADIATION ENVIRONMENT; MCMURDO-STATION; EARTHS SURFACE; CLOUD COVER; TOTAL OZONE; ALBEDO; SNOW; ENHANCEMENT; MODEL; HOLE</t>
  </si>
  <si>
    <t>The characteristics of UV-B (lambda = 290-315 nm) irradiance at Syowa Station (69degrees00'S, 39degrees35'E) in Antarctica were investigated by the numerical simulations with the multiple scattering radiative transfer model for the atmosphere-snow system, and the analyses of measured UV-B irradiance in 1996. By the numerical simulations a study has been made on the sensitivity of UV-B irradiance to the snow grain size, surface condition, cloud cover, Antarctic aerosol, solar zenith angle and total ozone amount. On the snow surface it was found that the effect of multiple reflection between atmosphere (or cloud) and snow surface of high albedo is important for the characteristics of UV-B irradiance. By the analyses of measured UV-B irradiance it was found that the occurrence of the maximum UV-B irradiance was not in December at maximum solar elevation, but in November when the low total ozone amount was observed. This shows that the time in a year reaching the minimum total ozone amount is important for determining the annual trend of UV-B irradiance. It was also found that the values of UV-B irradiance would be enhanced by the occurrence of cloud for the cloud amount of 9/10-10(-)/10 due to the effect of multiple reflection between cloud layers and snow surface. As a whole, theoretically calculated values of spectral and spectrally integrated UV-B irradiance agree well with the measured ones, however, at the low solar elevation or low energy level of UV-B irradiance, the measured values of UV-B irradiance were larger than the calculated ones due to the less sensitivity of the instrument to the weak irradiance.</t>
  </si>
  <si>
    <t>Meteorol Res Inst, Tsukuba, Ibaraki 3050052, Japan; Atmospher Environm Observ, Ryori, Japan</t>
  </si>
  <si>
    <t>Meteorological Research Institute - Japan</t>
  </si>
  <si>
    <t>Aoki, T (corresponding author), Meteorol Res Inst, 1-1 Nagamine, Tsukuba, Ibaraki 3050052, Japan.</t>
  </si>
  <si>
    <t>teaoki@mri-jma.go.jp</t>
  </si>
  <si>
    <t>METEOROLOGICAL SOC JAPAN</t>
  </si>
  <si>
    <t>C/O JAPAN METEOROLOGICAL AGENCY 1-3-4 OTE-MACHI, CHIYODA-KU, TOKYO, 100-0004, JAPAN</t>
  </si>
  <si>
    <t>0026-1165</t>
  </si>
  <si>
    <t>2186-9057</t>
  </si>
  <si>
    <t>J METEOROL SOC JPN</t>
  </si>
  <si>
    <t>J. Meteorol. Soc. Jpn.</t>
  </si>
  <si>
    <t>10.2151/jmsj.80.161</t>
  </si>
  <si>
    <t>563PB</t>
  </si>
  <si>
    <t>WOS:000176263800002</t>
  </si>
  <si>
    <t>Trites, AW; Porter, BT</t>
  </si>
  <si>
    <t>Attendance patterns of Steller sea lions (Eumetopias jubatus) and their young during winter</t>
  </si>
  <si>
    <t>JOURNAL OF ZOOLOGY</t>
  </si>
  <si>
    <t>Eumetopias jubatus; Steller sea lion; behaviour; attendance; weaning; foraging; maternal investment; Alaska</t>
  </si>
  <si>
    <t>ANTARCTIC FUR SEALS; ARCTOCEPHALUS-GAZELLA; FORAGING BEHAVIOR; MILK; ENERGETICS; LACTATION; GROWTH; PUPS</t>
  </si>
  <si>
    <t>Winter attendance patterns of lactating Steller sea lions Eumetopias jubatus and their offspring were recorded during the late stages of nursing when the young were expected to move from milk to independent foraging. Trip duration and nursing visits to shore by 24 mothers with pups (7-9 months old) and six mothers with yearlings (19-21 months old) were noted during 600 h of observations (from 22 January to I April 1996) at a non-breeding haulout site in south-eastern Alaska. Pups and yearlings tended to stay on or near the haulout while their mothers were away and showed no signs of weaning during winter. Their average trips to sea were 43% shorter in duration than those of lactating females, suggesting that pups and yearlings make independent trips away from the haulout while their mothers forage. The winter attendance cycle of lactating females (consisting of one trip to sea and one visit on land) averaged about 3 days, with the mothers Of Pups spending an average of 15 h of this time onshore with their offspring. The winter attendance cycle of pups and yearlings averaged just over 22 days, with the immature sea lions spending an average of 22h on shore. Foraging trips by mothers of yearlings were significantly longer than those by mothers of pups. However, there was no significant difference in the foraging times of mothers of male and female pups. Lactating females spent more time at sea during winter than during summer. The probability of sighting an individual on the v inter haulout during daylight hours was 15% for lactating females and 40% for immature animals.</t>
  </si>
  <si>
    <t>Univ British Columbia, Dept Zool, Fisheries Ctr, Vancouver, BC V6T 1Z4, Canada; Univ British Columbia, Marine Mammal Res Unit, Fisheries Ctr, Vancouver, BC V6T 1Z4, Canada; Alaska Dept Fish &amp; Game, Ketchikan, AK 99901 USA</t>
  </si>
  <si>
    <t>University of British Columbia; University of British Columbia; Alaska Department of Fish &amp; Game</t>
  </si>
  <si>
    <t>Univ British Columbia, Dept Zool, Fisheries Ctr, 2204 Main Mall, Vancouver, BC V6T 1Z4, Canada.</t>
  </si>
  <si>
    <t>trites@zoology.ubc.ca; boydp@fishgame.state.ak.us</t>
  </si>
  <si>
    <t>Trites, Andrew/K-5648-2012</t>
  </si>
  <si>
    <t>Trites, Andrew/0000-0003-0342-5322</t>
  </si>
  <si>
    <t>0952-8369</t>
  </si>
  <si>
    <t>1469-7998</t>
  </si>
  <si>
    <t>J ZOOL</t>
  </si>
  <si>
    <t>J. Zool.</t>
  </si>
  <si>
    <t>10.1017/S0952836902000596</t>
  </si>
  <si>
    <t>542TT</t>
  </si>
  <si>
    <t>WOS:000175060900014</t>
  </si>
  <si>
    <t>Richardson, NJ; Underhill, JR</t>
  </si>
  <si>
    <t>Controls on the structural architecture and sedimentary character of syn-rift sequences, North Falkland Basin, South Atlantic</t>
  </si>
  <si>
    <t>MARINE AND PETROLEUM GEOLOGY</t>
  </si>
  <si>
    <t>South Atlantic; Falkland Islands; volcaniclastics; Chon Aike; Large Igneous Province; North Falkland Basin; Tobifera Formation</t>
  </si>
  <si>
    <t>POST-DRILLING ANALYSIS; GONDWANA BREAK-UP; ANTARCTIC PENINSULA; ISLANDS; EVOLUTION; VOLCANISM; PATAGONIA; MAGMATISM; EXTENSION; ARC</t>
  </si>
  <si>
    <t>The Falkland Islands lie in a critical location for our understanding of Gondwana supercontinent break-up. Subsurface data obtained during recent exploration activity provide important new insights into the structure and stratigraphy of the North Falkland Basin's Late Jurassic syn-rift fill history. Results of seismic interpretation indicate that deposition was largely controlled by prominent planar normal faults, which divide the basin into a series of north-south trending half-grabens and minor grabens. Well data (in the form of exploration wireline logs, cores, petrographic thin sections, major and trace element analyses) indicate that their syn-rift fill was dominated by abundant volcaniclastic sediment supplied through debris flows, hyperconcentrated flows and pyroclastic ash-fall. The geochemical affinity of the volcanic sedimentary components shows a direct link to the widespread. Middle Jurassic to Early Cretaceous. silicic Chon Aike Large Igneous Province, in Southern South America and Antarctica. Diagenesis has obscured provenance information and severely reduced porosity within the syn-rift sediments. causing them to have poor reservoir potential. The results enable a radically new interpretation of this key period in the North Falkland Basin's evolution, which helps modify and unify previously disparate views. It is now suggested that basin development was the direct result of the Chon Aike back-arc stretching, influenced in part by the underlying Palaeozoic basement trends. This was followed by Cretaceous-Recent post-rift thermal subsidence of the basin, which was only arrested by local structural inversion related to Atlantic opening. Consequently, it is thought that the extension that created the North Falkland Basin was independent of both Early-Middle Jurassic rotation of the Falkland Islands microplate and the evolution of the South Atlantic Ocean in the Cretaceous and Cenozoic. (C) 2002 Elsevier Science Ltd. All rights reserved.</t>
  </si>
  <si>
    <t>Univ Edinburgh, Grant Inst, Dept Geol &amp; Geophys, Edinburgh EH9 3JW, Midlothian, Scotland</t>
  </si>
  <si>
    <t>University of Edinburgh</t>
  </si>
  <si>
    <t>Univ Edinburgh, Grant Inst, Dept Geol &amp; Geophys, Kings Bldg,W Mains Rd, Edinburgh EH9 3JW, Midlothian, Scotland.</t>
  </si>
  <si>
    <t>richardsonnick@hotmail.com; jru@glg.ed.ac.uk</t>
  </si>
  <si>
    <t>0264-8172</t>
  </si>
  <si>
    <t>1873-4073</t>
  </si>
  <si>
    <t>MAR PETROL GEOL</t>
  </si>
  <si>
    <t>Mar. Pet. Geol.</t>
  </si>
  <si>
    <t>PII S0264-8172(02)00024-7</t>
  </si>
  <si>
    <t>10.1016/S0264-8172(02)00024-7</t>
  </si>
  <si>
    <t>585MY</t>
  </si>
  <si>
    <t>WOS:000177529600003</t>
  </si>
  <si>
    <t>Jackson, GD; Moltschaniwskyj, NA</t>
  </si>
  <si>
    <t>Spatial and temporal variation in growth rates and maturity in the Indo-Pacific squid Sepioteuthis lessoniana (Cephalopoda: Loliginidae)</t>
  </si>
  <si>
    <t>MARINE BIOLOGY</t>
  </si>
  <si>
    <t>STATOLITH GROWTH; LOLIGO-VULGARIS; AGE; TEMPERATURE; PHOTOLOLIGO; OMMASTREPHIDAE</t>
  </si>
  <si>
    <t>Age growth and maturity parameters are described for the Indo-Pacific squid Sepioteuthis lessoniana both temporally and spatially (equatorial, tropical and subtropical). Tropical squid that grew through periods of warming water temperatures grew 9% faster than squid that grew through periods of cool water temperatures. The tropical spring-hatched and equatorial squid had similar growth rates (3.24, 3.18 g/day) and these were significantly faster than the tropical summer/autumn hatched squid (2.89 g/day). The oldest squid aged was 224 days, but the majority of individuals were &lt;200 days. Subtropical squid were larger, older and matured later than equatorial and tropical spring-hatched squid. The mean weight of subtropical squid aged between 100 and 150 days was &gt;400 g, 85% greater than tropical and equatorial squid. Geographical differences revealed that subtropical mature winter females and males had mean ages &gt;150 days, respectively 17% and 23% older than their tropical mature winter counterparts. Temporal differences in age at maturity were also evident with tropical winter females and males having a mean age of similar to140 days, respectively 41% and 25% older than their summer counterparts. Cooler subtropical and winter tropical squid had the heaviest gonads ( &gt;15 g ovaries, &gt;1.5 g testes) compared to summer tropical and equatorial squid. However, relative gonad investment (GSI) values of the cooler squid were significantly lower with cool subtropical and winter tropical females having GSI values &lt;3, which was about half the value of the warmer water females. This study revealed considerable plasticity in the size-at-age of this species. The tropical population had growth parameters that fluctuated between an equatorial strategy (fast growth, small body size, and small gonads) and a subtropical strategy (large body size, slower growth, and large gonads) depending on season.</t>
  </si>
  <si>
    <t>Univ Tasmania, Inst Antarctic &amp; So Ocean Studies, Hobart, Tas 7001, Australia; Univ Tasmania, Tasmania Aquaculture &amp; Fisheries Inst, Sch Aquaculture, Launceston, Tas 7250, Australia</t>
  </si>
  <si>
    <t>Univ Tasmania, Inst Antarctic &amp; So Ocean Studies, POB 252-77, Hobart, Tas 7001, Australia.</t>
  </si>
  <si>
    <t>george.jackson@utas.edu.au</t>
  </si>
  <si>
    <t>Jackson, George D/AAI-7315-2021; Moltschaniwskyj, Natalie/AAB-7236-2019; Moltschaniwskyj, Natalie/D-2048-2012</t>
  </si>
  <si>
    <t>Moltschaniwskyj, Natalie/0000-0001-9709-9876</t>
  </si>
  <si>
    <t>0025-3162</t>
  </si>
  <si>
    <t>1432-1793</t>
  </si>
  <si>
    <t>MAR BIOL</t>
  </si>
  <si>
    <t>Mar. Biol.</t>
  </si>
  <si>
    <t>10.1007/s00227-001-0746-9</t>
  </si>
  <si>
    <t>555XX</t>
  </si>
  <si>
    <t>WOS:000175819500010</t>
  </si>
  <si>
    <t>Fuiman, LA; Davis, RW; Williams, TM</t>
  </si>
  <si>
    <t>Behavior of midwater fishes under the Antarctic ice: observations by a predator</t>
  </si>
  <si>
    <t>WEDDELL SEA ANTARCTICA; NOTOTHENIOID FISHES; MCMURDO SOUND; PISCES; DIET; SPEED; FAUNA; FOOD; BAY</t>
  </si>
  <si>
    <t>Few details are known of the habits of Antarctic midwater fishes, especially those living below the heavy pack ice and shore-fast ice, are known, because they are difficult to capture or observe at depth. We used video sequences with synchronized positional data recorded by Weddell seals to describe the vertical distribution, diel movements, trends in abundance, and swimming behavior of two ecologically important fish species in McMurdo Sound, Antarctica. Pleuragramma antarcticum occurred in loose aggregations (individuals 2-4 m apart) and migrated daily between mean depths of 252 m at night and 346 m by day (vertical transit of 94 m). Their depth during November was correlated with surface light intensity even in the absence of a daily sunset. Interannual variations in local abundance indicated that the Pleuragramma population did not remain stationary. Large Dissostichus frequently occurred at shallow depths (12-180 m) and showed a significant change in depth with time of day. Dissostichus encounters followed a diel cycle having a mean depth of 93 m, a nighttime minimum of 17 in, and a daytime maximum of 168 m. Their depth was not correlated with surface light intensity. Dissostichus were present even when Pleuragramma, their principal prey, were scarce. When chased by a seal, one Dissostichus sustained a speed of 3.4 m s(-1) for a period of 24 s. This use of a marine predator as a guided, high-speed sampling device for its midwater prey provided clarification and new insights into the behavior, interactions, and ecology of species that have been especially difficult to study.</t>
  </si>
  <si>
    <t>Univ Texas, Dept Marine Sci, Inst Marine Sci, Port Aransas, TX 78373 USA; Texas A&amp;M Univ, Dept Marine Biol, Galveston, TX 77553 USA; Univ Calif Santa Cruz, Dept Biol, Santa Cruz, CA 95064 USA</t>
  </si>
  <si>
    <t>University of Texas System; Texas A&amp;M University System; University of California System; University of California Santa Cruz</t>
  </si>
  <si>
    <t>Fuiman, LA (corresponding author), Univ Texas, Dept Marine Sci, Inst Marine Sci, 750 Channel View Dr, Port Aransas, TX 78373 USA.</t>
  </si>
  <si>
    <t>Fuiman, Lee A/L-9514-2017</t>
  </si>
  <si>
    <t>10.1007/s00227-001-0752-y</t>
  </si>
  <si>
    <t>WOS:000175819500017</t>
  </si>
  <si>
    <t>Saito, H; Kotani, Y; Keriko, JM; Xue, CH; Taki, K; Ishihara, K; Ueda, T; Miyata, S</t>
  </si>
  <si>
    <t>High levels of n-3 polyunsaturated fatty acids in Euphausia pacifica and its role as a source of docosahexaenoic and icosapentaenoic acids for higher trophic levels</t>
  </si>
  <si>
    <t>MARINE CHEMISTRY</t>
  </si>
  <si>
    <t>chemoecology; docosahexaenoic acid; Euphausia pacifica; euphausiid; icosapentaenoic acid; marine grazing food chain</t>
  </si>
  <si>
    <t>BLUE-GREEN-ALGAE; SEA-ICE DIATOM; BIOCHEMICAL-COMPOSITION; MEGANYCTIPHANES-NORVEGICA; LIPID-COMPOSITION; ANTARCTIC KRILL; THYSANOESSA-INERMIS; LINOLENIC ACID; MONOENE FATS; SUPERBA</t>
  </si>
  <si>
    <t>In Euphausia pacifica specimens, phospholipids (PL, 44.1-81.2%) such as phosphatidylethanolamine (PE, mean standard error, 26.1 +/- 2.1%) and phosphatidylcholine (PC, 29.0 +/- 2.3%) were found to be the dominant lipids. Compared to many other marine organisms, the level of PL was markedly high. The major fatty acids in the TAG of E. pacifica were saturated fatty acids (SFA, 14:0 and 16:0), monounsaturated fatty acids (MUFA, 16:1 and 18: 1), and polyunsaturated fatty acids (PUFA, 18:4 n - 3 and 20:5 n - 3, icosapentaenoic acid: EPA). The only fatty acids found in the tissue PL were SFA (16:0), MUFA (18: 1), and PUFA (20:4 n - 6, arachidonic acid: A-A, EPA, and 22:6 n - 3, docosahexaenoic acids: DHA). The comparatively high levels of 14:0,16:0,16:1 n - 7,16:2 n - 4,16:4 n - 1, 18:1 n - 7, 18:1 n - 9, 18:4 n - 3, and EPA in the TAG may be affected by the lipid composition of its phytoplankton prey, such as diatoms, which generally contain high amounts of these fatty acids. The levels of short chain 14:0, 16:1 n - 7, 16:2 n - 4, 16:4 n - 1, 18:1 n - 9, and 18:4 n - 3 decreased in PL, while A-A, EPA, and DHA increased. In particular, the levels of n - 3 PUFA in PL were markedly high in all specimens. The mean proportion of EPA plus DHA accounted for more than 45% (55.0% in PE and 47.7% in PC) of the total fatty acids. These results suggest that E. pacifica, which contains markedly high levels of EPA and DHA, may biosynthesize these PUFA by carbon chain elongation and desaturation or selectively accumulate n - 3 PUFA. In addition, their lipids may be an important source of n - 3 PUFA for higher marine animals, such as the pelagic marine fishes (sardines, anchovies, and other small fishes), which mainly prey on these euphausiids. Marine fish accumulate high levels of these n - 3 PUFA because they are unable to synthesize DHA. (C) 2002 Elsevier Science B.V. All rights reserved.</t>
  </si>
  <si>
    <t>Natl Res Inst Fisheries Sci, Fisheries Res Agcy, Yokohama, Kanagawa 2368648, Japan</t>
  </si>
  <si>
    <t>Japan Fisheries Research &amp; Education Agency (FRA)</t>
  </si>
  <si>
    <t>Natl Res Inst Fisheries Sci, Fisheries Res Agcy, 2-12-4 Fuku Ura, Yokohama, Kanagawa 2368648, Japan.</t>
  </si>
  <si>
    <t>hiroakis@affrc.go.jp</t>
  </si>
  <si>
    <t>0304-4203</t>
  </si>
  <si>
    <t>1872-7581</t>
  </si>
  <si>
    <t>MAR CHEM</t>
  </si>
  <si>
    <t>Mar. Chem.</t>
  </si>
  <si>
    <t>PII S0304-4203(02)00005-1</t>
  </si>
  <si>
    <t>10.1016/S0304-4203(02)00005-1</t>
  </si>
  <si>
    <t>Chemistry, Multidisciplinary; Oceanography</t>
  </si>
  <si>
    <t>Chemistry; Oceanography</t>
  </si>
  <si>
    <t>540EK</t>
  </si>
  <si>
    <t>WOS:000174916400002</t>
  </si>
  <si>
    <t>Reid, K</t>
  </si>
  <si>
    <t>Growth rates of Antarctic fur seals as indices of environmental conditions</t>
  </si>
  <si>
    <t>MARINE MAMMAL SCIENCE</t>
  </si>
  <si>
    <t>Antarctic fur seal; Arctocephalus gazella; growth rate; cross-sectional weighing; Antarctic krill; Euphausia superba</t>
  </si>
  <si>
    <t>ARCTOCEPHALUS-GAZELLA; MASS; DIET</t>
  </si>
  <si>
    <t>The growth rates of Antarctic fur seal (Arctocephalus gazella) pups estimated from weighing cross-sections of the population were compared with measured/ inferred changes in the availability of their main prey species, Antarctic krill (Eupkausia superba) from 1989 to 2000. There was no relationship between growth rate and mass at weaning and there were counter-intuitive indications of higher growth rates in years of low krill availability. Biases reflecting changes in the component of the population available for sampling appear to invalidate the widely held assumption that interannual differences in growth rate can reliably he derived from differences in the slope of a linear relationship based on cross-sectional population samples. A new index was developed, based on the deviation of pup mass at age in each year compared to the multiyear mean, that was not dependent on assumptions of linearity. The indices of growth deviates produced a more logical relationship with other indices of pup development and related more appropriately to variations in prey availability. The potential impact of methodological biases on the interpretation of growth rate suggests that comparisons of growth rates should not rely on assumptions regarding the underlying growth pattern.</t>
  </si>
  <si>
    <t>Reid, K (corresponding author), British Antarctic Survey, Nat Environm Res Council, High Court,Madingley Rd, Cambridge CB3 0ET, England.</t>
  </si>
  <si>
    <t>k.reid@bas.ac.uk</t>
  </si>
  <si>
    <t>0824-0469</t>
  </si>
  <si>
    <t>1748-7692</t>
  </si>
  <si>
    <t>MAR MAMMAL SCI</t>
  </si>
  <si>
    <t>Mar. Mamm. Sci.</t>
  </si>
  <si>
    <t>10.1111/j.1748-7692.2002.tb01049.x</t>
  </si>
  <si>
    <t>544MK</t>
  </si>
  <si>
    <t>WOS:000175164000010</t>
  </si>
  <si>
    <t>Gales, NJ</t>
  </si>
  <si>
    <t>Genetic identification and biological observation of two free-swimming beaked whales:: Hector's beaked whale (Mesoplodon hectori, Gray, 1871), and grays beaked whale (Mesoplodon grayi, Von Haast, 1876)</t>
  </si>
  <si>
    <t>HEMISPHERE; ZIPHIIDAE</t>
  </si>
  <si>
    <t>Australian Antarctic Div, Kingston, Tas 7050, Australia; Univ Auckland, Sch Biol Sci, Auckland 1000, New Zealand; Western Australian Museum, Perth, WA 6000, Australia</t>
  </si>
  <si>
    <t>Australian Antarctic Division; University of Auckland; Western Australian Museum</t>
  </si>
  <si>
    <t>Gales, NJ (corresponding author), Australian Antarctic Div, Channel Highway, Kingston, Tas 7050, Australia.</t>
  </si>
  <si>
    <t>nick.gales@aad.gov.au</t>
  </si>
  <si>
    <t>10.1111/j.1748-7692.2002.tb01055.x</t>
  </si>
  <si>
    <t>WOS:000175164000016</t>
  </si>
  <si>
    <t>Kottler, C; Döbeli, M; Krähenbühl, U; Nussbaumer, M</t>
  </si>
  <si>
    <t>Exposure age dating by fluorine diffusion</t>
  </si>
  <si>
    <t>NUCLEAR INSTRUMENTS &amp; METHODS IN PHYSICS RESEARCH SECTION B-BEAM INTERACTIONS WITH MATERIALS AND ATOMS</t>
  </si>
  <si>
    <t>7th European Conference on Accelerators in Applied Research and Technology</t>
  </si>
  <si>
    <t>AUG 21-24, 2001</t>
  </si>
  <si>
    <t>UNIV SURREY, GUILDFORD, ENGLAND</t>
  </si>
  <si>
    <t>UNIV SURREY</t>
  </si>
  <si>
    <t>proton induced gamma emission; fluorine analysis; bone; exposure age; dating; nuclear reaction analysis</t>
  </si>
  <si>
    <t>DEPTH-PROFILES; ACHONDRITES; CHONDRITES</t>
  </si>
  <si>
    <t>Buried objects may accumulate fluorine from the humidity of the Surrounding ground. Under stable conditions, a fluorine concentration profile develops which slowly expands into the bulk of the object. If the diffusion coefficient of the material is known. the time span for which the object has been exposed to the given environment can be determined. This method has been successfully applied to dating of meteorites on the antarctic ice. In the present study we investigated the possibility to use the same procedure for dating bones from archaeological sites between 1000 and 6000 years of age. Samples were cross-sectioned and the fluorine profile was determined by proton induced gamma emission with a scanning milliprobe beam (diameter between 40 and 200 mum). From the shape of the profile the 'diffusion length' (product of diffusion coefficient and exposure time) may be extracted. Profiles measured at different positions of the same bone yield a diffusion length which varies less than 30% from spot to spot. However. the correlation between age and profile shape largely depends on the specific archaeological site and the structure of the investigated specimens, Very strict conditions are required to allow for successful dating. (C) 2002 Elsevier Science B.V. All rights reserved.</t>
  </si>
  <si>
    <t>ETH Honggerberg, Paul Scherrer Inst, CH-8093 Zurich, Switzerland; Univ Bern, Dept Chem &amp; Biochem, CH-3012 Bern, Switzerland; Nat Hist Museum, CH-3005 Bern, Switzerland</t>
  </si>
  <si>
    <t>Swiss Federal Institutes of Technology Domain; ETH Zurich; Paul Scherrer Institute; University of Bern</t>
  </si>
  <si>
    <t>Döbeli, M (corresponding author), ETH Honggerberg, Paul Scherrer Inst, IPP HPK H32, CH-8093 Zurich, Switzerland.</t>
  </si>
  <si>
    <t>0168-583X</t>
  </si>
  <si>
    <t>NUCL INSTRUM METH B</t>
  </si>
  <si>
    <t>Nucl. Instrum. Methods Phys. Res. Sect. B-Beam Interact. Mater. Atoms</t>
  </si>
  <si>
    <t>PII S0168-583X(01)01010-2</t>
  </si>
  <si>
    <t>10.1016/S0168-583X(01)01010-2</t>
  </si>
  <si>
    <t>Instruments &amp; Instrumentation; Nuclear Science &amp; Technology; Physics, Atomic, Molecular &amp; Chemical; Physics, Nuclear</t>
  </si>
  <si>
    <t>Instruments &amp; Instrumentation; Nuclear Science &amp; Technology; Physics</t>
  </si>
  <si>
    <t>548AA</t>
  </si>
  <si>
    <t>WOS:000175364300010</t>
  </si>
  <si>
    <t>Botta, O; Glavin, DP; Kminek, G; Bada, JL</t>
  </si>
  <si>
    <t>Relative amino acid concentrations as a signature for parent body processes of carbonaceous chondrites</t>
  </si>
  <si>
    <t>ORIGINS OF LIFE AND EVOLUTION OF BIOSPHERES</t>
  </si>
  <si>
    <t>amino acids; meteorites; organic compounds; parent body; solar system</t>
  </si>
  <si>
    <t>TAGISH LAKE METEORITE; THERMAL METAMORPHISM; MURCHISON METEORITE; ORGANIC-MOLECULES; CI CHONDRITES; ASTEROIDS; COMETS; EVOLUTION; MURRAY</t>
  </si>
  <si>
    <t>Most meteorites are thought to have originated from objects in the asteroid belt. Carbonaceous chondrites, which contain significant amounts of organic carbon including complex organic compounds, have also been suggested to be derived from comets. The current model for the synthesis of organic compounds found in carbonaceous chondrites includes the survival of interstellar organic compounds and the processing of some of these compounds on the meteoritic parent body. The amino acid composition of five CM carbonaceous chondrites, two CIs, one CR, and one CV3 have been measured using hot water extraction-vapor hydrolysis, OPA/NAC derivatization and high-performance liquid chromatography (HPLC). Total amino acid abundances in the bulk meteorites as well as the amino acid concentrations relative to glycine = 1.0 for beta-alanine, alpha-aminoisobutyric acid and D-alanine were determined. Additional data for three Antarctic CM meteorites were obtained from the literature. All CM meteorites analyzed in this study show a complex distribution of amino acids and a high variability in total concentration ranging from similar to15 300 to similar to5800 parts per billion (ppb), while the CIs show a total amino acid abundance of similar to4300 ppb. The relatively (compared to glycine) high AIB content found in all the CMs is a strong indicator that Strecker-cyanohydrin synthesis is the dominant pathway for the formation of amino acids found in these meteorites. The data from the Antarctic CM carbonaceous chondrites are inconsistent with the results from the other CMs, perhaps due to influences from the Antarctic ice that were effective during their residence time. In contrast to CMs, the data from the CI carbonaceous chondrites indicate that the Strecker synthesis was not active on their parent bodies.</t>
  </si>
  <si>
    <t>Univ Calif San Diego, Scripps Inst Oceanog, La Jolla, CA 92093 USA</t>
  </si>
  <si>
    <t>Bada, JL (corresponding author), Univ Calif San Diego, Scripps Inst Oceanog, La Jolla, CA 92093 USA.</t>
  </si>
  <si>
    <t>jbada@ucsd.edu</t>
  </si>
  <si>
    <t>Glavin, Daniel P/D-6194-2012</t>
  </si>
  <si>
    <t>Glavin, Daniel P/0000-0001-7779-7765</t>
  </si>
  <si>
    <t>10.1023/A:1016019425995</t>
  </si>
  <si>
    <t>567VN</t>
  </si>
  <si>
    <t>WOS:000176506300006</t>
  </si>
  <si>
    <t>Parker, RW; Paige, KN; De Vries, AL</t>
  </si>
  <si>
    <t>Genetic variation among populations of the Antarctic toothfish: evolutionary insights and implications for conservation</t>
  </si>
  <si>
    <t>PATAGONIAN TOOTHFISH; ARBITRARY PRIMERS; MCMURDO SOUND; DNA; MITOCHONDRIAL; MARKERS; VARIABILITY; FISH; PCR; PHYLOGENIES</t>
  </si>
  <si>
    <t>Commercial fishing is having an increasingly negative impact on marine biodiversity, with over 70% of the world's fish stocks being fully exploited and. in many cases, overexploited. On top of this, the Commission for the Conservation of Antarctic Marine Living Resources (CCAMLR) has granted commercial fishing permits in the most remote marine environment on earth. the high-latitude Southern Ocean. The primary target of these new commercial fishing ventures is the large pelagic piscivorous predator, the Antarctic toothfish (Dissostichus mawsoni). Unfortunately, little information is available on the demography, genetics, or life history of this large fish. Without such information we have little idea as to the effects of commercial fishing on the population structure and survival of this species. In this study. we focus on patterns of genetic diversity within and between geographically disparate populations of the Antarctic toothfish, using randomly amplified polymorphic DNA markers. Results of our study showed high levels of genetic similarity within and between populations. Despite high levels of genetic similarity, genetic analyses detected significant population structure, including fixed differences among populations, a significant fixation index (Fst) and between-population differentiation via a Mantel test. From a conservation perspective, low levels of genetic diversity may be indicative of relatively small populations that would not be able to withstand heavy commercial fishing pressures. Given that there is evidence for significant genetic structure, it will be important to manage these fisheries in a manner that will help prevent the loss of unique genetic variation from regional overfishing.</t>
  </si>
  <si>
    <t>Univ Illinois, Dept Anim Biol, Urbana, IL 61801 USA; Univ Illinois, Dept Nat Resources &amp; Environm Sci, Urbana, IL 61801 USA</t>
  </si>
  <si>
    <t>University of Illinois System; University of Illinois Urbana-Champaign; University of Illinois System; University of Illinois Urbana-Champaign</t>
  </si>
  <si>
    <t>Univ Illinois, Dept Anim Biol, 515 Morrill Hall,505 S Goodwin Ave, Urbana, IL 61801 USA.</t>
  </si>
  <si>
    <t>k-paige@uiuc.edu</t>
  </si>
  <si>
    <t>10.1007/s00300-001-0333-z</t>
  </si>
  <si>
    <t>542HT</t>
  </si>
  <si>
    <t>WOS:000175038000003</t>
  </si>
  <si>
    <t>Tosi, S; Casado, B; Gerdol, R; Caretta, G</t>
  </si>
  <si>
    <t>Fungi isolated from Antarctic mosses</t>
  </si>
  <si>
    <t>WINDMILL ISLANDS; MICROFUNGI; YEAST</t>
  </si>
  <si>
    <t>Microfungi were isolated from different moss species in Victoria Land. Twenty-eight taxa belonging to 18 genera were identified. New records for continental Antarctica were: Arthrobotrys superba, Conidiobolus sp., Penicillium minioluteum, Verticillium psalliotae and V. lamellicola. The most frequently isolated fungal species were: Cladosporium cladosporioides, Cryptococcus albidus, Cryptococcus laurentii, Geomyces pannorum var. pannorum, G. pannorum var. vinaceus, Mortierella antarctica, Cadophora malorum, Phoma herbarum and F. lecanii. Bryum pseudotriquetrum was the moss richest in fungal species. Within the Antarctic environment, moss is one of the microhabitats richest in microfungi, particularly in psychrophilic indigenous species.</t>
  </si>
  <si>
    <t>Univ Pavia, Dipartimento Ecol Terr &amp; Ambienti Terr, Sez Micol, I-27100 Pavia, Italy; Univ Ferrara, Dipartimento Biol, Sez Botan, I-44100 Ferrara, Italy</t>
  </si>
  <si>
    <t>University of Pavia; University of Ferrara</t>
  </si>
  <si>
    <t>Univ Pavia, Dipartimento Ecol Terr &amp; Ambienti Terr, Sez Micol, Via S Epidanio 14, I-27100 Pavia, Italy.</t>
  </si>
  <si>
    <t>mycol@et.unipv.it</t>
  </si>
  <si>
    <t>Tosi, Solveig/AAC-9482-2019</t>
  </si>
  <si>
    <t>Tosi, Solveig/0000-0002-6769-6984</t>
  </si>
  <si>
    <t>10.1007/s00300-001-0337-8</t>
  </si>
  <si>
    <t>WOS:000175038000004</t>
  </si>
  <si>
    <t>Lea, MA; Hindell, M; Guinet, C; Goldsworthy, S</t>
  </si>
  <si>
    <t>Variability in the diving activity of Antarctic fur seals, Arctocephalus gazella, at Iles Kerguelen</t>
  </si>
  <si>
    <t>SUMMER-AUTUMN PERIOD; FORAGING BEHAVIOR; LAURIE ISLAND; FISH PREY; DIET; PENGUINS; CROZET; WINTER</t>
  </si>
  <si>
    <t>Intra-population variation in diving behaviour of lactating Antarctic fur seals (Arctocephalus gazella) was studied at the Kerguelen Archipelago (49degrees07'S, 70degrees45'E) during the austral summers of 1998-2000. Dive data were successfully recorded for 112 seals equipped with time-depth recorders during 117 foraging trips. All seals displayed bouts of diving activity and the nocturnal foraging behaviour typical of otariids preying on pelagic fish and squid. Mean dive depth (53 m) was considerably deeper than recorded for this species at other sites. Four diving behaviour groups were identified: (1) deep divers (n = 60); (2) shallow-active divers (n = 45); (3) shallow divers (n = 9); (4) daytime divers (n = 3). The distribution of trips assigned to the various behavioural dive groups varied significantly between years. Antarctic fur seals at Kerguelen exhibit flexible diving strategies both within and between populations in response to changes in environmental conditions and prey availability. Electronic supplementary material to this paper can be obtained by using the Springer Link server located at http://dx.doi.org/10.1007/s00300-001-0339-6.</t>
  </si>
  <si>
    <t>Univ Tasmania, Dept Zool, Antarctic Wildlife Res Unit, Hobart, Tas 7001, Australia; CNRS, Ctr Etud Biol Chize, F-79360 Beauvoir Sur Niort, France; La Trobe Univ, Sea Mammal Ecol Grp, Dept Zool, Bundoora, Vic 3086, Australia</t>
  </si>
  <si>
    <t>Univ Tasmania, Dept Zool, Antarctic Wildlife Res Unit, POB 252-05, Hobart, Tas 7001, Australia.</t>
  </si>
  <si>
    <t>ma_lea@utas.edu.au</t>
  </si>
  <si>
    <t>Guinet, Christophe/AAR-8457-2020; Hindell, Mark A/K-1131-2013; Lea, Mary-Anne/E-9054-2013</t>
  </si>
  <si>
    <t>Lea, Mary-Anne/0000-0001-8318-9299; Hindell, Mark/0000-0002-7823-7185; Goldsworthy, Simon/0000-0003-4988-9085</t>
  </si>
  <si>
    <t>10.1007/s00300-001-0339-6</t>
  </si>
  <si>
    <t>Green Submitted, Green Accepted</t>
  </si>
  <si>
    <t>WOS:000175038000005</t>
  </si>
  <si>
    <t>Spruzen, FL; Woehler, EJ</t>
  </si>
  <si>
    <t>The influence of synoptic weather patterns on the at-sea behaviour of three species of albatross</t>
  </si>
  <si>
    <t>SATELLITE TRACKING; WANDERING ALBATROSSES; DIOMEDEA-EXULANS; BREEDING-SEASON; SEABIRDS; WIND; MOVEMENTS; DIRECTION; ATLANTIC</t>
  </si>
  <si>
    <t>The relationships between behaviour and synoptic-scale weather patterns and wind speeds for wandering (Diomedea exulans), black-browed (D. melanophrys) and light-mantled sooty (Phoebetria palpebrata) albatrosses were examined using observations collected from ships in the Southern Ocean south of Tasmania, Australia. Wandering albatrosses were found in high-pressure systems in significantly higher numbers than expected than in low-pressure systems. Wandering albatrosses were also found more frequently at lower latitudes than were black-browed and light-mantled sooty albatrosses. Light-mantled sooty and black-browed albatrosses showed no significant association with high- or low-pressure systems, suggesting that they can use either pressure system for travel. High-pressure systems may act as traps for wandering albatrosses, due to the lower wind speeds generally associated with these systems.</t>
  </si>
  <si>
    <t>Australian Antarctic Div, Kingston, Tas 7050, Australia; Univ Tasmania, Inst Antarctic &amp; So Ocean Studies, Hobart, Tas 7001, Australia</t>
  </si>
  <si>
    <t>Woehler, EJ (corresponding author), Australian Antarctic Div, Channel Highway, Kingston, Tas 7050, Australia.</t>
  </si>
  <si>
    <t>Woehler, Eric/0000-0002-1125-0748</t>
  </si>
  <si>
    <t>10.1007/s00300-001-0344-9</t>
  </si>
  <si>
    <t>WOS:000175038000008</t>
  </si>
  <si>
    <t>Gutt, J</t>
  </si>
  <si>
    <t>The Antarctic ice shelf: an extreme habitat for notothenioid fish</t>
  </si>
  <si>
    <t>DEMERSAL FISH; WEDDELL SEA</t>
  </si>
  <si>
    <t>Young specimens of cf. Pagothenia borchgrevinki were observed for the first time to cling to the subsurface of the marginal ice shelf in Drescher Inlet, southeastern Weddell Sea. Along an approximately 40 m-long videotransect at 80 m water depth, the abundance was roughly estimated to be 7 individuals per 10 m(2), This behaviour is interpreted to represent the most advanced adaptation to ice as a microhabitat for Antarctic fish.</t>
  </si>
  <si>
    <t>Alfred Wegener Inst Polar &amp; Marine Res, D-27568 Bremerhaven, Germany</t>
  </si>
  <si>
    <t>Gutt, J (corresponding author), Alfred Wegener Inst Polar &amp; Marine Res, Columbusstr, D-27568 Bremerhaven, Germany.</t>
  </si>
  <si>
    <t>Gutt, Julian/0000-0003-3773-9370</t>
  </si>
  <si>
    <t>10.1007/s00300-001-0352-9</t>
  </si>
  <si>
    <t>WOS:000175038000011</t>
  </si>
  <si>
    <t>Roach, JC</t>
  </si>
  <si>
    <t>A clade of trypsins found in cold-adapted fish</t>
  </si>
  <si>
    <t>PROTEINS-STRUCTURE FUNCTION AND GENETICS</t>
  </si>
  <si>
    <t>amino acid composition; trypsinogen; psychrophilic enzyme; antifreeze proteins; lactate dehydrogenase; long-branch attraction; cold adaption; phylogeny</t>
  </si>
  <si>
    <t>ANTARCTIC NOTOTHENIOID FISH; SUBSTRATE-SPECIFICITY; MOLECULAR-BASIS; ANTIFREEZE GLYCOPROTEIN; PANCREATIC-ENZYMES; GENETIC SELECTION; PORCINE TRYPSIN; GREENLAND COD; BINDING SITE; GADUS-OGAC</t>
  </si>
  <si>
    <t>A clade of trypsins, known as group III, is identified by phylogenetic analysis. These trypsins occur in fish that spend all or part of their lives at temperatures near 0degreesC and may represent extreme psychrophilic, enzymes. A principal component analysis of amino acid compositions distinguishes group III from mesophilic trypsins, as do molecular trees and multidimensional scaling of molecular sequence distances. The primary sequences of group III trypsins, in conjunction with the known structures of mesophilic trypsins, permit insight into function and mechanisms of cold adaption. The techniques employed are broadly applicable to phylogenies characterized by a markedly different, or fast-evolving, clade. An updated lactate dehydrogenase molecular tree illustrates an additional fast-evolving clade.</t>
  </si>
  <si>
    <t>Inst Syst Biol, Seattle, WA 98103 USA</t>
  </si>
  <si>
    <t>Institute for Systems Biology (ISB)</t>
  </si>
  <si>
    <t>Roach, JC (corresponding author), Inst Syst Biol, Seattle, WA 98103 USA.</t>
  </si>
  <si>
    <t>WILEY-LISS</t>
  </si>
  <si>
    <t>DIV JOHN WILEY &amp; SONS INC, 605 THIRD AVE, NEW YORK, NY 10158-0012 USA</t>
  </si>
  <si>
    <t>0887-3585</t>
  </si>
  <si>
    <t>PROTEINS</t>
  </si>
  <si>
    <t>Proteins</t>
  </si>
  <si>
    <t>10.1002/prot.10062</t>
  </si>
  <si>
    <t>529EL</t>
  </si>
  <si>
    <t>WOS:000174287000004</t>
  </si>
  <si>
    <t>Troedson, AL; Smellie, JL</t>
  </si>
  <si>
    <t>The polonez cove formation of King George Island, Antarctica: Stratigraphy, facies and implications for mid-Cenozoic cryosphere development</t>
  </si>
  <si>
    <t>SEDIMENTOLOGY</t>
  </si>
  <si>
    <t>Antarctica; facies; glacial sedimentation; Oligocene; shallow marine; volcanism</t>
  </si>
  <si>
    <t>PACIFIC MARGIN; PENINSULA; OLIGOCENE; SHELF; SEDIMENTATION; SEQUENCES; TEXTURES; EVENTS; GROWTH; RECORD</t>
  </si>
  <si>
    <t>The middle to late Oligocene Polonez Cove Formation, exposed on south-eastern King George Island, South Shetland Islands, provides rare evidence of mid-Cenozoic West Antarctic cryosphere evolution. A revised lithostratigraphy and facies analysis and a review of the palaeoenvironmental significance of the formation are presented here. The diamictite-dominated basal member of the formation (Krakowiak Glacier Member) records the presence and retreat of marine-based ice on a shallow continental shelf. Five overlying members are recognized. These consist of basaltic-sourced sedimentary rocks and lavas and represent a variety of shoreface and shallow continental shelf environments in an active volcanic setting. These units contain diverse reworked and ice-rafted exotic clasts that become sparse towards the top of the formation, suggesting a continuing but waning glacial influence. New (40) Ar/(39) Ar dates from interbedded lava flows indicate a late Oligocene age (25.6-27.2 Ma) for the Polonez Cove Formation, but are slightly younger than skeletal carbonate Sr-isotope ages obtained previously (28.5-29.8 Ma). There is evidence for wet-based subice conditions at the base of the Polonez Cove Formation, but no sedimentary facies to suggest substantial meltwater. This may reflect a subpolar setting or may result from lack of preservation or a high-energy depositional environment. A northern Antarctic Peninsula/South Shetland Islands provenance is probable for most non-basaltic clasts, but certain lithologies with possible origins in the Transantarctic and Ellsworth Mountains also occur sparsely throughout the formation. There is evidence to suggest that the presence of such far-travelled clasts within subglacially deposited facies at the base of the formation reflects the advance of a local ice cap across marine sediments containing the clasts as ice-rafted material. The presence of these clasts suggests that extensive marine-based ice drained into the southern Weddell Sea region and that a strong Weddell Sea surface current operated both before and during deposition of the Polonez Cove Formation.</t>
  </si>
  <si>
    <t>alexatroedson@hotmail.com</t>
  </si>
  <si>
    <t>0037-0746</t>
  </si>
  <si>
    <t>1365-3091</t>
  </si>
  <si>
    <t>Sedimentology</t>
  </si>
  <si>
    <t>10.1046/j.1365-3091.2002.00441.x</t>
  </si>
  <si>
    <t>546AD</t>
  </si>
  <si>
    <t>WOS:000175249000004</t>
  </si>
  <si>
    <t>Bester, MN; Bloomer, JP; van Aarde, RJ; Erasmus, BH; van Rensburg, PJJ; Skinner, JD; Howell, PG; Naude, TW</t>
  </si>
  <si>
    <t>A review of the successful eradication of feral cats from sub-Antarctic Marion Island, Southern Indian Ocean</t>
  </si>
  <si>
    <t>SOUTH AFRICAN JOURNAL OF WILDLIFE RESEARCH</t>
  </si>
  <si>
    <t>feral cats; eradication campaign; overview; Marion Island</t>
  </si>
  <si>
    <t>PRINCE-EDWARD-ISLANDS; FELIS-CATUS; POPULATION CHARACTERISTICS; BREEDING BIOLOGY; PROCELLARIIDAE</t>
  </si>
  <si>
    <t>This paper reviews the history of the feral cat eradication programme on sub-Antarctic Marion Island based on unpublished minutes of meetings, reports, letters, theses and published scientific papers; and reflects on the outcome of the eradication campaign. The 19-year programme comprised seven phases, commencing with a description of the effect of the cats on the Marion Island ecosystem, the characteristics of the cat population and the formulation of a management policy (phase 1: 1974-1976). Methods for control were selected and preparations were made for the implementation of the primary control measure, biological control with the feline panleucopaenia virus (phase 2: 1976/77). The virus was released in 1977 (phase 3: 1977), followed by the determination of its effects (phase 4: 1977-1980). Monitoring of the effects of the virus continued, and the secondary control measure of hunting at night was tested (phase 5: 1981-1983). Full-scale implementation of hunting and continued monitoring of the effects of both the disease and hunting followed (phase 6: 1986-1989). The inclusion of intensive trapping and poisoning as tertiary control measures culminated in the final eradication of cats from Marion Island in 1991 (phase 7: 1989-1993).</t>
  </si>
  <si>
    <t>Univ Pretoria, Mammal Res Inst, Dept Zool &amp; Entomol, ZA-0002 Pretoria, South Africa; Univ Pretoria, Fac Vet Sci, Dept Infect Dis, ZA-0110 Onderstepoort, South Africa; Univ Pretoria, Fac Vet Sci, Dept Pharmacol &amp; Toxicol, ZA-0110 Onderstepoort, South Africa</t>
  </si>
  <si>
    <t>University of Pretoria; University of Pretoria; University of Pretoria</t>
  </si>
  <si>
    <t>van Rensburg, Peet Jansen/F-9004-2010; Bester, Marthán N/E-5387-2010</t>
  </si>
  <si>
    <t>van Rensburg, Peet Jansen/0000-0001-6911-1866;</t>
  </si>
  <si>
    <t>SOUTHERN AFRICAN WILDLIFE MANAGEMENT ASSOC</t>
  </si>
  <si>
    <t>BLOUBERGSTRAND</t>
  </si>
  <si>
    <t>P O BOX 217, BLOUBERGSTRAND 7437, SOUTH AFRICA</t>
  </si>
  <si>
    <t>0379-4369</t>
  </si>
  <si>
    <t>S AFR J WILDL RES</t>
  </si>
  <si>
    <t>South Afr. J. Wildl. Res.</t>
  </si>
  <si>
    <t>573LE</t>
  </si>
  <si>
    <t>WOS:000176830500009</t>
  </si>
  <si>
    <t>Van Der Kemp, WJM; Alderliesten, C; Van Der Borg, K; De Jong, AFM; Lamers, RAN; Oerlemans, J; Thomassen, M; Van De Wal, RSW</t>
  </si>
  <si>
    <t>In situ produced 14C by cosmic ray muons in ablating Antarctic ice</t>
  </si>
  <si>
    <t>AMS; RATES; FRACTIONATION; (CO2)-C-14</t>
  </si>
  <si>
    <t>Samples of a core (52 m) of ablating Antarctic ice were analysed for (CO)-C-14 and (CO2)-C-14 by accelerator mass spectrometry. The data were compared with a C-14 in situ production model that includes ration capture in addition to oxygen spallation by neutrons. The analysis reveals significant in situ C-14 at depths below 10 m, which we attribute to C-14 production by cosmic ray muons. The age of the ice was determined as 9.3 +/- 0.4 C-14 ka BP.</t>
  </si>
  <si>
    <t>Univ Utrecht, Inst Marine &amp; Atmospher Res, NL-3508 TA Utrecht, Netherlands; Univ Utrecht, Inst Subatom Phys, NL-3508 TA Utrecht, Netherlands</t>
  </si>
  <si>
    <t>Utrecht University; Utrecht University</t>
  </si>
  <si>
    <t>Van De Wal, RSW (corresponding author), Univ Utrecht, Inst Marine &amp; Atmospher Res, POB 80005, NL-3508 TA Utrecht, Netherlands.</t>
  </si>
  <si>
    <t>Oerlemans, Johannes/G-3802-2011; van der Borg, Klaas/K-1990-2019; van der Borg, Klaas/W-6101-2018; van de wal, roderik/D-1705-2011</t>
  </si>
  <si>
    <t>van der Borg, Klaas/0000-0002-5999-2804; van de wal, roderik/0000-0003-2543-3892</t>
  </si>
  <si>
    <t>BLACKWELL MUNKSGAARD</t>
  </si>
  <si>
    <t>COPENHAGEN</t>
  </si>
  <si>
    <t>35 NORRE SOGADE, PO BOX 2148, DK-1016 COPENHAGEN, DENMARK</t>
  </si>
  <si>
    <t>0280-6509</t>
  </si>
  <si>
    <t>10.1034/j.1600-0889.2002.00274.x</t>
  </si>
  <si>
    <t>538AE</t>
  </si>
  <si>
    <t>WOS:000174791200007</t>
  </si>
  <si>
    <t>Romano, N; Ceccariglia, S; Mastrolia, L; Mazzini, M</t>
  </si>
  <si>
    <t>Cytology of lymphomyeloid head kidney of Antarctic fishes Trematomus bernacchii (Nototheniidae) and Chionodraco hamatus (Channicthyidae)</t>
  </si>
  <si>
    <t>TISSUE &amp; CELL</t>
  </si>
  <si>
    <t>head kidney; T bernacchii; C hamatus; Antarctic fishes; teleost</t>
  </si>
  <si>
    <t>CYPRINUS-CARPIO L; LYMPHOID ORGANS; TELEOST FISH; CELLS; THYMUS; HEMOGLOBINS; ALLOGRAFT; SEABREAM; ONTOGENY</t>
  </si>
  <si>
    <t>Species that live in extreme conditions have specially adapted physiology and tissue/organ organisation The adaptation of lymphoid organs to low temperatures in polar species could be an original field of study indicating how the immune system works under extreme conditions In fishes the head kidney is a key organ for immunity and here the cytology of this organ is studied in two common Antarctic species Trematomus bernacchli and Chlonodraco hamatus Ultrastructural analysis revealed heterogeneity of epithelial cells with reticular cells subcapsular and perivascular limiting cells Differences in the size and morphology of epithelial cells were observed between the polar species and warm water species of fish Intermingled with epithelial cell leucocytes such as lymphocytes thrombocytes and macrophages had comparable morphology in both species contrary to sharp differences observed in the morphology of erythrocytes and granulocytes The functional adaptation of the head kidney to the low temperatures of polar water is discussed (C) 2002 Elsevier Science Ltd All rights reserved.</t>
  </si>
  <si>
    <t>Univ Tuscia, Dept Environm Sci, I-01100 Viterbo, Italy</t>
  </si>
  <si>
    <t>Romano, N (corresponding author), Univ Tuscia, Dept Environm Sci, Blocco D,Largo Univ, I-01100 Viterbo, Italy.</t>
  </si>
  <si>
    <t>nromano@unitus.it</t>
  </si>
  <si>
    <t>romano, nicla/K-5010-2019</t>
  </si>
  <si>
    <t>romano, nicla/0000-0002-0155-8271</t>
  </si>
  <si>
    <t>CHURCHILL LIVINGSTONE</t>
  </si>
  <si>
    <t>EDINBURGH</t>
  </si>
  <si>
    <t>JOURNAL PRODUCTION DEPT, ROBERT STEVENSON HOUSE, 1-3 BAXTERS PLACE, LEITH WALK, EDINBURGH EH1 3AF, MIDLOTHIAN, SCOTLAND</t>
  </si>
  <si>
    <t>0040-8166</t>
  </si>
  <si>
    <t>TISSUE CELL</t>
  </si>
  <si>
    <t>Tissue Cell</t>
  </si>
  <si>
    <t>10.1016/S0040-8166(02)00005-8</t>
  </si>
  <si>
    <t>Anatomy &amp; Morphology; Cell Biology</t>
  </si>
  <si>
    <t>589CL</t>
  </si>
  <si>
    <t>WOS:000177740400002</t>
  </si>
  <si>
    <t>Bradbury, J</t>
  </si>
  <si>
    <t>Utter isolation in a cold climate: the Antarctic challenge</t>
  </si>
  <si>
    <t>LANCET</t>
  </si>
  <si>
    <t>LANCET LTD</t>
  </si>
  <si>
    <t>0140-6736</t>
  </si>
  <si>
    <t>Lancet</t>
  </si>
  <si>
    <t>MAR 30</t>
  </si>
  <si>
    <t>10.1016/S0140-6736(02)08185-0</t>
  </si>
  <si>
    <t>Medicine, General &amp; Internal</t>
  </si>
  <si>
    <t>General &amp; Internal Medicine</t>
  </si>
  <si>
    <t>536YJ</t>
  </si>
  <si>
    <t>WOS:000174729200022</t>
  </si>
  <si>
    <t>Clark, PU; Mitrovica, JX; Milne, GA; Tamisiea, ME</t>
  </si>
  <si>
    <t>Sea-level fingerprinting as a direct test for the source of global meltwater pulse IA</t>
  </si>
  <si>
    <t>LAURENTIDE ICE-SHEET; LAST GLACIAL MAXIMUM; YOUNGER DRYAS EVENT; RECORD; MODEL; OCEAN; CIRCULATION; CORALS; RISE; DEGLACIATION</t>
  </si>
  <si>
    <t>The ice reservoir that served as the source for the meltwater pulse IA remains enigmatic and controversial. We show that each of the melting scenarios that have been proposed for the event produces a distinct variation, or fingerprint, in the global distribution of meltwater. We compare sea-level fingerprints associated with various melting scenarios to existing sea-level records from Barbados and the Sunda Shelf and conclude that the southern Laurentide Ice Sheet could not have been the sole source of the meltwater pulse, whereas a substantial contribution from the Antarctic Ice Sheet is consistent with these records.</t>
  </si>
  <si>
    <t>Univ Toronto, Dept Phys, Toronto, ON M5S 1A7, Canada; Oregon State Univ, Dept Geosci, Corvallis, OR 97331 USA; Univ Durham, Dept Geol Sci, Durham DH1 3LE, England</t>
  </si>
  <si>
    <t>University of Toronto; Oregon State University; Durham University</t>
  </si>
  <si>
    <t>Mitrovica, JX (corresponding author), Univ Toronto, Dept Phys, 60 St George St, Toronto, ON M5S 1A7, Canada.</t>
  </si>
  <si>
    <t>jxm@physics.utoronto.ca</t>
  </si>
  <si>
    <t>MAR 29</t>
  </si>
  <si>
    <t>536QD</t>
  </si>
  <si>
    <t>WOS:000174712600052</t>
  </si>
  <si>
    <t>von Frese, RRB; Taylor, PT; Chiappini, M</t>
  </si>
  <si>
    <t>Special issue - Magnetic anomalies of the Antarctic - Preface</t>
  </si>
  <si>
    <t>Ohio State Univ, Dept Geol Sci, Columbus, OH 43210 USA; NASA, Goddard Space Flight Ctr, Geodynam Branch, Greenbelt, MD 20771 USA; Ist Nazl Geofis &amp; Vulcanol, I-00143 Rome, Italy</t>
  </si>
  <si>
    <t>University System of Ohio; Ohio State University; National Aeronautics &amp; Space Administration (NASA); NASA Goddard Space Flight Center; Istituto Nazionale Geofisica e Vulcanologia (INGV)</t>
  </si>
  <si>
    <t>von Frese, RRB (corresponding author), Ohio State Univ, Dept Geol Sci, Columbus, OH 43210 USA.</t>
  </si>
  <si>
    <t>Taylor, Patrick T/D-4707-2012</t>
  </si>
  <si>
    <t>Taylor, Patrick T/0000-0002-1212-9384</t>
  </si>
  <si>
    <t>PII S0040-1951(01)00233-5</t>
  </si>
  <si>
    <t>10.1016/S0040-1951(01)00233-5</t>
  </si>
  <si>
    <t>560ZQ</t>
  </si>
  <si>
    <t>WOS:000176111600001</t>
  </si>
  <si>
    <t>Golynsky, AV; Morris, P; Kovacs, LC; Ferris, JK</t>
  </si>
  <si>
    <t>A new magnetic map of the Weddell Sea and the Antarctic Peninsula</t>
  </si>
  <si>
    <t>Spring Meeting of the American-Geophysical-Union</t>
  </si>
  <si>
    <t>BOSTON, MASSACHUSETTS</t>
  </si>
  <si>
    <t>Weddell Sea; Antarctic Peninsula; magnetic anomaly map; interpretation</t>
  </si>
  <si>
    <t>DRONNING MAUD LAND; AEROMAGNETIC ANOMALIES</t>
  </si>
  <si>
    <t>As part of the Antarctic Digital Magnetic Mapping Project (ADMAP) workers from VNIIOkeangeologia (Russia), the British Antarctic Survey (UK) and the Naval Research Laboratory (USA) have brought together almost all of the available magnetic data in the area 0-120degreesW, 60-90degreesS. The final map covers the whole Weddell Sea and adjacent land areas, the Antarctic Peninsula and the seas to the west, an area comparable in size with that of the USA. This paper describes the methods used during the compilation of the map and reviews briefly some of the main features shown on it. Distinct magnetic provinces are associated with Precambrian rocks of the East Antarctic craton, highly extended continental crust in the Weddell Sea embayment, the arc batholith of the Antarctic Peninsula, and oceanic crust of the northern Weddell Sea, which was created as a direct consequence of South America-Antarctica plate motion and oceanic crust generated at the Pacific-Antarctic ridge. The magnetic anomaly map thus provides an overview of the fragmentation of south-western Gondwana and the tectonic development of the Weddell Sea sector of Antarctica. (C) 2002 Elsevier Science B.V. All rights reserved.</t>
  </si>
  <si>
    <t>All Russian Res Inst Geol &amp; Mineral Resources Wor, VNIIOkeangeol, St Petersburg 190121, Russia; British Antarctic Survey, Cambridge CB3 0ET, England; USN, Res Lab, Washington, DC 20375 USA</t>
  </si>
  <si>
    <t>A.P. Karpinsky Russian Geological Research Institute (VSEGEI); UK Research &amp; Innovation (UKRI); Natural Environment Research Council (NERC); NERC British Antarctic Survey; United States Department of Defense; United States Navy; Naval Research Laboratory</t>
  </si>
  <si>
    <t>Golynsky, AV (corresponding author), All Russian Res Inst Geol &amp; Mineral Resources Wor, VNIIOkeangeol, 1 Angliysky Ave, St Petersburg 190121, Russia.</t>
  </si>
  <si>
    <t>Golynsky, Alexander/0000-0003-2546-4082</t>
  </si>
  <si>
    <t>PII S0040-1951(01)00234-7</t>
  </si>
  <si>
    <t>10.1016/S0040-1951(01)00234-7</t>
  </si>
  <si>
    <t>WOS:000176111600002</t>
  </si>
  <si>
    <t>Ferris, JK; Vaughan, APM; King, EC</t>
  </si>
  <si>
    <t>A window on West Antarctic crustal boundaries: the junction between the Antarctic Peninsula, the Filchner Block, and Weddell Sea oceanic lithosphere</t>
  </si>
  <si>
    <t>aeromagnetics; tectonics; Antarctic Peninsula; Filchner Block; Weddell Sea</t>
  </si>
  <si>
    <t>A new airborne magnetic survey of the southeastern Antarctic Peninsula and adjacent Weddell Sea embayment (WSE) region suggests a continuity of geological structure between the eastern Antarctic Peninsula and the attenuated continental crust of the Filchner Block. This has implications for the reconstructed position of the Ellsworth-Whitmore Mountains block in Gondwana, which is currently uncertain. Palaeomagnetic data indicate that it has migrated from a Palaeozoic position between South Africa and Coats Land to its current position as a microplate embedded in central West Antarctica. The most obvious route for migration is between the Antarctic Peninsula and the Weddell Sea embayment. Evidence that geological structures are continuous across the boundary places constraints on the timing and pathway of migration. Magnetic textures suggest the presence of shallow features extending from the Beaumont Glacier Zone (BGZ) in the west for at least 200 kin into the Weddell Sea embayment. These data suggest that the Eastern Domain of the Antarctic Peninsula and the stretched continental crust of the Filchner Block share a common recent, probably post-Early Jurassic, history. However, examination of deep anomalies indicates differences in the magnetic characteristics of the two blocks. The boundary may mark either the edge of extended continental crust, or a discontinuity between two, once separated, blocks. This discontinuity, or pre-Late Jurassic Antarctic Peninsula terrane boundaries to the west, may have allowed the passage of the Ellsworth-Whitmore Mountains block to its present location. (C) 2002 Elsevier Science B.V. All rights reserved.</t>
  </si>
  <si>
    <t>Ferris, JK (corresponding author), British Antarctic Survey, High Cross,Madingley Rd, Cambridge CB3 0ET, England.</t>
  </si>
  <si>
    <t>Vaughan, Alan PM/B-7829-2010</t>
  </si>
  <si>
    <t>PII S0040-1951(01)00235-6</t>
  </si>
  <si>
    <t>10.1016/S0040-1951(01)00235-9</t>
  </si>
  <si>
    <t>WOS:000176111600003</t>
  </si>
  <si>
    <t>Jones, PC; Johnson, AC; von Frese, RRB; Corr, H</t>
  </si>
  <si>
    <t>Detecting rift basins in the Evans Ice Stream region of West Antarctica using airborne gravity data</t>
  </si>
  <si>
    <t>BOSTON, MA</t>
  </si>
  <si>
    <t>aerogravity; magnetics; West Antarctica; crustal thickness; extensional tectonics; rift basins</t>
  </si>
  <si>
    <t>CRUSTAL STRUCTURE; ANOMALIES; SEA; LITHOSPHERE; TOPOGRAPHY; EXTENSION; SOUTHERN; ISOSTASY; MODELS; UPLIFT</t>
  </si>
  <si>
    <t>A total of 11,500 line km of aerogravity data have been used to construct an free-air gravity anomaly map for the Antarctic region that may contain the microplate boundary between the Haag Nunataks block and southern Antarctic Peninsula. Along-line free-air gravity anomaly data resolved wavelengths of 9 km or greater with better than 5 mGal accuracy. Coincident radio echo soundings provided data to construct a digital terrain model. The gravity effect of the terrain was calculated by Gauss-Legendre quadrature (GLQ) and spectrally correlated with the free-air gravity data. Terrain-correlated free-air anomalies related to possible isostatic imbalances of the crust were separated from terrain-decorrelated anomalies that may reflect intra-crustal density contrasts. Subtracting terrain-correlated free-air anomalies from the gravity effects of the terrain yielded compensated terrain gravity effects (CTGE) that were used to model the Moho by inversion. The results indicate moderate but significant crustal thinning below the Evans Ice Stream that is consistent with an extensional origin for the deep, wide, steep-sided trough that contains the ice stream as well as the continued elevation of the footwall flank of the basin, Changes along the axis of the rift, both in the gravity anomaly field and the distribution of Moho topography, can be explained by processes associated with continental lithospheric extension. Subsequently, many of the features produced by extension have been modified by glacial erosion and the sub-ice topography and gravity data reflect this. (C) 2002 Elsevier Science B.V. All rights reserved.</t>
  </si>
  <si>
    <t>British Antarctic Survey, Cambridge CB3 0ET, England; Ohio State Univ, Dept Geol Sci, Columbus, OH 43210 USA</t>
  </si>
  <si>
    <t>UK Research &amp; Innovation (UKRI); Natural Environment Research Council (NERC); NERC British Antarctic Survey; University System of Ohio; Ohio State University</t>
  </si>
  <si>
    <t>pcj@bas.ac.uk</t>
  </si>
  <si>
    <t>Corr, Hugh/C-5398-2011</t>
  </si>
  <si>
    <t>PII S0040-1951(01)00236-0</t>
  </si>
  <si>
    <t>10.1016/S0040-1951(01)00236-0</t>
  </si>
  <si>
    <t>WOS:000176111600004</t>
  </si>
  <si>
    <t>Kovacs, LC; Morris, P; Brozena, J; Tikku, A</t>
  </si>
  <si>
    <t>Seafloor spreading in the Weddell Sea from magnetic and gravity data</t>
  </si>
  <si>
    <t>Gondwana break-ups; marine magnetic anomalies; gravity anomalies; plate tectonics</t>
  </si>
  <si>
    <t>ZONE AFRICAN PLATE; CRUSTAL STRUCTURE; WEST ANTARCTICA; INDIAN-OCEAN; GONDWANALAND; ATLANTIC; BASIN; RECONSTRUCTION; CONSTRAINTS; EMBAYMENT</t>
  </si>
  <si>
    <t>A re-compilation of magnetic data in the Weddell Sea is presented and compared with the gravity field recently derived from retracked satellite altimetry. The previously informally named 'Anomaly-T,' an cast-west trending linear positive magnetic and gravity anomaly lying at about 69degreesS, forms the southern boundary of the well-known Weddell Sea gravity herringbone. North of Anomaly-T, three major E-W linear magnetic lows are shown, and identified with anomalies cl2r, c21-29(r) and c33r. On the basis of these, and following work by recent investigators, isochrons c13, 08, c20, c21, c30, c33 and c34 are identified and extended into the western Weddell Sea. Similarly, a linear magnetic low lying along the spine of the herringbone is shown and provisionally dated at 93-96 Ma. Anomaly-T is tentatively dated to be M5n, in agreement with recent tectonic models. Although current tectonic models are generally in good agreement to the north of T, to the south interpretations differ. Some plate tectonic models have only proposed essentially north-south spreading in the region, whilst others have suggested that a period of predominantly east-west motion (relative to present Antarctic geographic coordinates) occurred during the mid-Mesozoic spreading between East and West Gondwana. We identify an area immediately to the south of T which appears to be the southerly extent of N-S spreading in the herringbone. Following recent work, the extreme southerly extent of the N-S directed spreading of the herringbone is provisionally dated M9r/M10. In the oldest Weddell Sea, immediately to the north and east of the Antarctic shelf, we see subtle features in both the magnetic and gravity data that are consistent with predominantly N-S spreading in the Weddell Sea during the earliest opening of East and West Gondwana. In between, however, in a small region extending approximately from about 50 km south of T to about 70degreesS and from approximately 40degrees to 53degreesW, the magnetic and gravity data appear to suggest well-correlated linear marine magnetic anomalies (possible isochrons) perpendicular to T, bounded and offset by less well-defined steps and linear lows in the gravity (possible fracture zones). These magnetic and gravity data southwest of T suggest that the crust here may record an E-W spreading episode between the two-plate system of East and West Gondwana prior to the initiation of the three-plate spreading system of South America, Africa and Antarctica. The E-W spreading record to the east of about 35degreesW would then appear to have been cut off at about M10 time during the establishment of N-S three-plate spreading along the South American-Antarctic Ridge and then subducted under the Scotia Ridge. (C) 2002 Elsevier Science B.V. All rights reserved.</t>
  </si>
  <si>
    <t>USN, Res Lab, Marine Geosci Div, Washington, DC 20375 USA; British Antarctic Survey, Geosci Div, Cambridge CB3 0ET, England; NOAA, Lab Satellite Altimetry, Silver Spring, MD USA</t>
  </si>
  <si>
    <t>United States Department of Defense; United States Navy; Naval Research Laboratory; UK Research &amp; Innovation (UKRI); Natural Environment Research Council (NERC); NERC British Antarctic Survey; National Oceanic Atmospheric Admin (NOAA) - USA</t>
  </si>
  <si>
    <t>Kovacs, LC (corresponding author), USN, Res Lab, Marine Geosci Div, 4555 Overlook Ave SW, Washington, DC 20375 USA.</t>
  </si>
  <si>
    <t>PII S0040-1951(01)00237-2</t>
  </si>
  <si>
    <t>10.1016/S0040-1951(01)00237-2</t>
  </si>
  <si>
    <t>WOS:000176111600005</t>
  </si>
  <si>
    <t>Ghidella, ME; Yáñez, G; LaBrecque, JL</t>
  </si>
  <si>
    <t>Revised tectonic implications for the magnetic anomalies of the western Weddell Sea</t>
  </si>
  <si>
    <t>Antarctica; Weddell Sea; magnetics; gravity; seafloor spreading; fracture zone</t>
  </si>
  <si>
    <t>MARINE GRAVITY-FIELD; ANTARCTIC PENINSULA; SOUTH-ATLANTIC; EVOLUTION; BASIN; RIDGE; CONSTRAINTS</t>
  </si>
  <si>
    <t>Ten years after the USAC (U.S.-Argentina-Chile) Project, which was the most comprehensive aeromagnetic effort in the Antarctic Peninsula and surrounding ocean basins, questions remain regarding the kinematics of the early opening history of the Weddell Sea. Key elements in this complex issue are a better resolution of the magnetic sequence in the western part of the Weddell Sea and merging the USAC data set with the other magnetic data sets in the region. For this purpose we reprocessed the USAC data set using a continuation between arbitrary surfaces and equivalent magnetic sources. The equivalent sources are located at a smooth crustal surface derived from the existing bathymetry/topography and depths estimated by magnetic inversions. The most critical area processed was the transition between the high altitude survey over the Antarctic Peninsula and the low altitude survey over the Weddell Sea that required downward continuation to equalize the distance to the magnetic source. This procedure was performed with eigenvalue analysis to stabilize the equivalent magnetic source inversion. The enhancement of the Mesozoic sequence permits refining the interpretation of the seafloor-spreading anomalies. In particular, the change in shape and wavelength of an elongated positive in the central Weddell Sea suggests that it was formed during the Cretaceous Normal Polarity Interval. The older lineations in the southwestern Weddell Sea are tentatively attributed to susceptibility contrasts modeled as fracture zones. Numerical experimentation to adjust synthetic isochrons to seafloor-spreading lineations and flow lines to fracture zones yields stage poles for the opening of the Weddell Sea since 160 Ma to anomaly 34 time. The corresponding reconstructions look reasonable within the known constraints for the motions of the Antarctic and South America plates. However, closure is not attained between 160 and 118 Ma if independent published East Antarctica-Africa-South America rotations are considered. The lack of closure may be overcome by considering relative motion between the Antarctic Peninsula and East Antarctica until 118 Ma time, an important component of convergence. (C) 2002 Elsevier Science B.V. All rights reserved.</t>
  </si>
  <si>
    <t>Inst Antartico Argentino, RA-1010 Buenos Aires, DF, Argentina; Geodatos SAIC, Santiago, Chile; NASA, Solid Earth &amp; Nat Hazards Program, Off Earth Sci, Washington, DC 20546 USA</t>
  </si>
  <si>
    <t>Instituto Antartico Argentino; National Aeronautics &amp; Space Administration (NASA)</t>
  </si>
  <si>
    <t>Ghidella, ME (corresponding author), Inst Antartico Argentino, Cerrito 1248, RA-1010 Buenos Aires, DF, Argentina.</t>
  </si>
  <si>
    <t>Labrecque, John/AAD-3171-2022</t>
  </si>
  <si>
    <t>PII S0040-1951(01)00238-4</t>
  </si>
  <si>
    <t>10.1016/S0040-1951(01)00238-4</t>
  </si>
  <si>
    <t>WOS:000176111600006</t>
  </si>
  <si>
    <t>Tikku, AA; Marks, KM; Kovacs, LC</t>
  </si>
  <si>
    <t>An Early Cretaceous extinct spreading center in the northern Natal valley</t>
  </si>
  <si>
    <t>Natal valley; Africa; Antarctica; Mozambique; Mozambique ridge; Dronning Maud land; Gondwana; mesozoic; reconstructions; finite rotations</t>
  </si>
  <si>
    <t>MESOZOIC MAGNETIC-ANOMALIES; DRONNING-MAUD-LAND; EAST-AFRICAN RIFT; INDIAN-OCEAN; MOZAMBIQUE RIDGE; SOUTH-ATLANTIC; SOMALI BASIN; ANTARCTICA; MADAGASCAR; RECONSTRUCTIONS</t>
  </si>
  <si>
    <t>We have identified an extinct E-W spreading center in the northern Natal valley on the basis of magnetic anomalies which was active from chron M11 ( similar to 133 Ma) to similar to 125.3 Ma, just before chron M2 ( similar to 124 Ma) in the Early Cretaceous. Seafloor spreading in the northern Natal valley accounts for approximately 170 km of north-south motion between the Mozambique Ridge and Africa. This extension resolves the predicted overlap of the continental (central and southern) Mozambique Ridge and Antarctica in the chron M2 to M I I reconstructions from Mesozoic finite rotation parameters for Africa and Antarctica. In addition, the magnetic data reveal that the Mozambique Ridge was an independent microplate from at least 133 to 125 Ma. The northern Natal valley extinct spreading center connects to the spreading center separating the Mozambique Basin and the RiiserLarsen Sea to the east. It follows that the northern Mozambique Ridge was either formed after the emplacement of the surrounding oceanic crust or it is the product of a very robust spreading center. To the west the extinct spreading center connects to the spreading center separating the southern Natal valley and Georgia Basin via a transform fault. Prior to chron M11, there is still a problem with the overlap of Mozambique Ridge if it is assumed to be fixed with respect to either the African or Antarctic plates. Some of the overlap can be accounted for by Jurassic deformation of the Mozambique Ridge, Mozambique Basin, and Dronning Maud land. It appears though that the Mozambique Ridge was an independent microplate from the breakup of Gondwana, similar to 160 Ma, until it became part of the African plate, similar to 125 Ma. (C) 2002 Elsevier Science B.V. All rights reserved.</t>
  </si>
  <si>
    <t>NOAA, Lab Satellite Altimetry, Silver Spring, MD 20910 USA; USN, Res Lab, Marine Geosci Div, Washington, DC 20375 USA</t>
  </si>
  <si>
    <t>National Oceanic Atmospheric Admin (NOAA) - USA; United States Department of Defense; United States Navy; Naval Research Laboratory</t>
  </si>
  <si>
    <t>Tikku, AA (corresponding author), Columbia Univ, Lamont Doherty Earth Observ, 108 Oceanog Bldg,61 Route 9W, Palisades, NY 10964 USA.</t>
  </si>
  <si>
    <t>Marks, Karen/F-5610-2010</t>
  </si>
  <si>
    <t>Marks, Karen/0000-0001-6524-1495</t>
  </si>
  <si>
    <t>PII S0040-1951(01)00239-6</t>
  </si>
  <si>
    <t>10.1016/S0040-1951(01)00239-6</t>
  </si>
  <si>
    <t>WOS:000176111600007</t>
  </si>
  <si>
    <t>Golynsky, AV; Alyavdin, SV; Masolov, V; Tscherinov, AS; Volnukhin, VS</t>
  </si>
  <si>
    <t>The composite magnetic anomaly map of the East Antarctic</t>
  </si>
  <si>
    <t>East Antarctica; magnetic anomaly map; terrane boundaries; ACMMA</t>
  </si>
  <si>
    <t>KERGUELEN PLATEAU; SEA-FLOOR; AUSTRALIA; BASIN; AREA; BELT; SHIP</t>
  </si>
  <si>
    <t>Airborne and marine magnetic observations in East Antarctica and adjacent seas of the Indian Ocean were compiled for a magnetic anomaly map of the Antarctic. For East Antarctica, over 260,000 line km of Russian reconnaissance magnetic data were used that had been collected since 1955 mainly at line spacings of about 5, 20 and 50 km. For the offshore areas, magnetic data from American, Australian, German, Japanese, and Russian marine expeditions were incorporated. Digitally recorded data and data digitized from published and unpublished maps and profiles were included in the compilation. Local grids of these data were developed and merged into a regional grid at an interval of 5 km. The prime product of this compilation is a shaded-relief map that shows the most complete and coherent perspective to date of the region's magnetic character. In combination with other types of data, the compilation provides new insight on the tectonic features and history of this largely inaccessible region of the world. It maps out approximately 4300 km of the Antarctic Continental Margin Magnetic Anomaly (ACMMA) related to Gondwana breakup, new cratons and mobile belts, and large submarine igneous provinces. (C) 2002 Elsevier Science B.V. All rights reserved.</t>
  </si>
  <si>
    <t>All Russian Res Inst Geol &amp; Mineral Resources Wor, VNIIOkeangeol, St Petersburg 190121, Russia; PMGRE, Lomonosov 189510, Russia</t>
  </si>
  <si>
    <t>A.P. Karpinsky Russian Geological Research Institute (VSEGEI)</t>
  </si>
  <si>
    <t>PII S0040-1951(01)00240-2</t>
  </si>
  <si>
    <t>10.1016/S0040-1951(01)00240-2</t>
  </si>
  <si>
    <t>WOS:000176111600008</t>
  </si>
  <si>
    <t>Chiappini, M; Ferraccioli, F; Bozzo, E; Damaske, D</t>
  </si>
  <si>
    <t>Regional compilation and analysis of aeromagnetic anomalies for the Transantarctic Mountains - Ross Sea sector of the Antarctic</t>
  </si>
  <si>
    <t>Antarctica; magnetic anomalies; tectonic structures; magmatism; geomagnetism</t>
  </si>
  <si>
    <t>NORTHERN VICTORIA LAND; MARGIN; UPLIFT</t>
  </si>
  <si>
    <t>Magnetic observations over the area of the Transantarctic, Mountains (TAM) and the Ross Sea have been compiled into a digital database that furnishes a new regional scale view of the magnetic anomaly crustal field in this key sector of the Antarctic continent. This compilation is a component of the ongoing IAGA/SCAR Antarctic Digital Magnetic Anomaly Project (ADMAP). The aeromagnetic surveys total 115000 line km, and are distributed across the Victoria Land sector of the TAM, the Ross Sea, and Marie Byrd Land. The magnetic campaigns were performed within the framework of the national and international Italian-German-US Antarctic research programs and conducted with differing specifications during nine field seasons from 1971 until 1997. Generally flight line spacing was less than 5 kin while survey altitude varied from about 6 10 to 4000 m above sea level for barometric surveys and was equal to 305 in above topography for the single draped survey. Reprocessing included digitizing the old contour data, improved levelling by means of microlevelling in the frequency domain, and re-reduction to a common reference field based on the DGRF90 model. A multi-frequency grid procedure was then applied to obtain a coherent and merged total intensity magnetic anomaly map. The shaded relief map covers an area of approximately 380000 km(2). This new compilation provides a regional image of the location and spatial extent of the Cenozoic alkaline magmatism related to the TAM-Ross Sea rift, Jurassic tholeiites, and crustal segments of the Early Palaeozoic magmatic arc. A linear, approximately 100-km wide and 600-km long Jurassic rift-like structure is newly identified. Magnetic fabric in the Ross Sea rift often matches seismically imaged Cenozoic fault arrays. Major buried onshore pre-rift fault zones, likely inherited from the Ross Orogen, are also delineated. These faults may have been reactivated as strike-slip belts that segmented the TAM into various crustal blocks. (C) 2002 Elsevier Science B.V. All rights reserved.</t>
  </si>
  <si>
    <t>Ist Nazl Geofis &amp; Vulcanol, I-00143 Rome, Italy; Univ Genoa, Dipartimento Terr &amp; Risorse, Genoa, Italy; BGR, Hannover, Germany</t>
  </si>
  <si>
    <t>Istituto Nazionale Geofisica e Vulcanologia (INGV); University of Genoa</t>
  </si>
  <si>
    <t>Ist Nazl Geofis &amp; Vulcanol, Vigna Murata 605, I-00143 Rome, Italy.</t>
  </si>
  <si>
    <t>chiappini@ingv.it</t>
  </si>
  <si>
    <t>PII S0040-1951(01)00241-4</t>
  </si>
  <si>
    <t>10.1016/S0040-1951(01)00241-4</t>
  </si>
  <si>
    <t>WOS:000176111600009</t>
  </si>
  <si>
    <t>Ferraccioli, F; Bozzo, E; Damaske, D</t>
  </si>
  <si>
    <t>Aeromagnetic signatures over western Marie Byrd Land provide insight into magmatic arc basement, mafic magmatism and structure of the Eastern Ross Sea Rift flank</t>
  </si>
  <si>
    <t>aeromagnetic anomalies; magmatic arc; mafic rock; rifting; West Antarctica</t>
  </si>
  <si>
    <t>NORTHERN VICTORIA-LAND; EDWARD-VII-PENINSULA; TRANSANTARCTIC MOUNTAINS; FORD-RANGES; ANTARCTICA; SYSTEM; SUBDUCTION; PATTERNS; GRANITES; HISTORY</t>
  </si>
  <si>
    <t>Aeromagnetic signatures over the Edward VII Peninsula (E7) provide new insight into the largely ice-covered and unexplored eastern flank of the Ross Sea Rift (RSR). Positive anomalies, 10-40 kin in wavelength and with amplitudes ranging from 50 to 500 nT could reveal buried Late Devonian(?)-Early Carboniferous Ford Granodiorite plutons. This is suggested by similar magnetic signature over exposed, coeval Admiralty Intrusives of the Transantarctic Mountains (TAM). Geochemical data from mid-Cretaceous Byrd Coast Granite, contact metamorphic effects on Swanson Formation and homblende-bearing granitoid dredge samples strengthen this magnetic interpretation, making alternative explanations less probable. These magnetic anomalies over formerly adjacent TAM and western Marie Byrd Land (wMBL) terranes resemble signatures typically observed over magnetite-rich magmatic are plutons. Shorter wavelength (5 km) 150 nT anomalies could speculatively mark mid-Cretaceous mafic dikes of the E7, similar to those exposed over the adjacent Ford Ranges. Anomalies with amplitudes of 100360 nT over the Sulzberger Bay and at the margin of the Sulzberger Ice Shelf likely reveal mafic Late Cenozoic(?) volcanic rocks emplaced along linear rift fabric trends. Buried volcanic rock at the margin of the interpreted half-graben-like Sulzberger fee Shelf Block is modelled in the Kizer Island area. The volcanic rock is marked by a coincident positive Bouguer gravity anomaly. Late Cenozoic volcanic rocks over the TAM, in the RSR, and beneath the West Antarctic Ice Sheet exhibit comparable magnetic anomaly signature reflecting regional West Antarctic Rift fabric. Interpreted mafic magmatism of the E7 is likely related to mid-Cretaceous and Late Cenozoic regional crustal extension and possible mantle plume activity over wMBL. Magnetic lineaments of the E7 are enhanced in maximum horizontal gradient of pseudo-gravity, vertical derivative and 3D Euler Deconvolution maps. Apparent vertical offsets in magnetic basement at the location of the lineaments and spatially associated mafic dikes and volcanic rocks result from 2.5D magnetic modelling. A rift-related fault origin for the magnetic lineaments, segmenting the E7 region into horst and graben blocks, is proposed by comparison with offshore seismic reflection, marine gravity, on-land gravity, radio-echo sounding, apatite fission track data and structural geology. The NNW magnetic lineament, which we interpret to mark the eastern RSR shoulder, forms the western margin of the Alexandra Mountains horst. This fundamental aeromagnetic feature lies on strike with the Colbeck Trough, a prominent NNW half-graben linked to Late Cretaceous(?) and Cenozoic(?) faulting in the eastern RSR. East-west and north-north-east to NE magnetic trends are also imaged. Magnetic trends, if interpreted as reflecting the signature of rift-related normal faults, would imply N-S to NE crustal extension followed by later northwest-southeast directed extension. NW-SE extension would be compatible with Cenozoic(?) oblique RSR rifting. Previous structural data from the Ford Ranges have, however, been interpreted to indicate that both Cretaceous and Cenozoic extensions were N-S to NE-SW directed. (C) 2002 Elsevier Science B.V. All rights reserved.</t>
  </si>
  <si>
    <t>Univ Genoa, Dipartimento Studio Terr &amp; Risorse, I-16132 Genoa, Italy; Bundesanstalt Geowissensch &amp; Rohstoffe, D-3000 Hannover, Germany</t>
  </si>
  <si>
    <t>Univ Genoa, Dipartimento Studio Terr &amp; Risorse, Corso Europa 26, I-16132 Genoa, Italy.</t>
  </si>
  <si>
    <t>magne@dipteris.unige.it</t>
  </si>
  <si>
    <t>PII S0040-1951(01)00242-6</t>
  </si>
  <si>
    <t>10.1016/S0040-1951(01)00242-6</t>
  </si>
  <si>
    <t>WOS:000176111600010</t>
  </si>
  <si>
    <t>Torta, JM; De Santis, A; Chiappini, M; von Frese, RRB</t>
  </si>
  <si>
    <t>A model of the secular change of the geomagnetic field for Antarctica</t>
  </si>
  <si>
    <t>Antarctica; spherical cap harmonic analysis; magnetic surveys; magnetic mapping; geomagnetic secular variation</t>
  </si>
  <si>
    <t>An improved model of geomagnetic secular change for the Antarctic was developed using observatory annual mean values measured in Antarctica during the last 40 years. Spherical cap harmonic analysis (SCRA) with a power series time dependence was used to model spatial and temporal variations of main field differences at spatial wavelengths from 3000 to 13,000 km. The model was designed to facilitate merging satellite, airborne, marine and terrestrial magnetic data sets recorded at very different epochs in the Antarctic where significant annual geomagnetic changes have occurred. It improves the fit to observatory data by up to about 50% relative to the International Geomagnetic Reference Field. (C) 2002 Elsevier Science B.V. All rights reserved.</t>
  </si>
  <si>
    <t>CSIC, Observ lEbre, Tarragona 43520, Spain; Ist Nazl Geofis &amp; Vulcanol, I-00143 Rome, Italy; Ohio State Univ, Dept Geol Sci, Columbus, OH 43210 USA; Ohio State Univ, Byrd Polar Res Ctr, Columbus, OH 43210 USA</t>
  </si>
  <si>
    <t>Consejo Superior de Investigaciones Cientificas (CSIC); Universitat Ramon Llull; Ebre Observatory; Istituto Nazionale Geofisica e Vulcanologia (INGV); University System of Ohio; Ohio State University; University System of Ohio; Ohio State University</t>
  </si>
  <si>
    <t>Torta, JM (corresponding author), CSIC, Observ lEbre, Tarragona 43520, Spain.</t>
  </si>
  <si>
    <t>Torta, Joan Miquel/C-7614-2014; De Santis, Angelo/AAG-2895-2021</t>
  </si>
  <si>
    <t>Torta, Joan Miquel/0000-0002-4340-7308;</t>
  </si>
  <si>
    <t>PII S0040-1951(01)00244-X</t>
  </si>
  <si>
    <t>10.1016/S0040-1951(01)00244-X</t>
  </si>
  <si>
    <t>WOS:000176111600012</t>
  </si>
  <si>
    <t>Walther, GR; Post, E; Convey, P; Menzel, A; Parmesan, C; Beebee, TJC; Fromentin, JM; Hoegh-Guldberg, O; Bairlein, F</t>
  </si>
  <si>
    <t>Ecological responses to recent climate change</t>
  </si>
  <si>
    <t>ECOSYSTEM RESPONSE; SOUTHERN-OCEAN; SEA; VARIABILITY; PHENOLOGY; MIGRATION; RED; CONSEQUENCES; DETERMINISM; TEMPERATURE</t>
  </si>
  <si>
    <t>There is now ample evidence of the ecological impacts of recent climate change, from polar terrestrial to tropical marine environments. The responses of both flora and fauna span an array of ecosystems and organizational hierarchies, from the species to the community levels. Despite continued uncertainty as to community and ecosystem trajectories under global change, our review exposes a coherent pattern of ecological change across systems. Although we are only at an early stage in the projected trends of global warming, ecological responses to recent climate change are already clearly visible.</t>
  </si>
  <si>
    <t>Univ Hannover, Inst Geobot, D-30167 Hannover, Germany; Penn State Univ, Dept Biol, Mueller Lab 208, University Pk, PA 16802 USA; British Antarctic Survey, NERC, Cambridge CB3 0ET, England; Tech Univ Munich, Dept Ecol, D-85354 Freising Weihenstephan, Germany; Univ Texas, Patterson Labs 141, Austin, TX 78712 USA; Univ Sussex, Sch Biol Sci, Brighton BN1 9QG, E Sussex, England; IFREMER, Ctr Halieut Mediterraneen &amp; Trop, F-34203 Sete, France; Univ Queensland, Ctr Marine Studies, St Lucia, Qld 4072, Australia; Inst Vogelforsch Vogelwarte Helgoland, D-26386 Wilhelmshaven, Germany</t>
  </si>
  <si>
    <t>Leibniz University Hannover; Pennsylvania Commonwealth System of Higher Education (PCSHE); Pennsylvania State University; Pennsylvania State University - University Park; UK Research &amp; Innovation (UKRI); Natural Environment Research Council (NERC); NERC British Antarctic Survey; Technical University of Munich; University of Texas System; University of Texas Austin; University of Sussex; Ifremer; University of Queensland</t>
  </si>
  <si>
    <t>Walther, GR (corresponding author), Univ Hannover, Inst Geobot, Nienburger Str 17, D-30167 Hannover, Germany.</t>
  </si>
  <si>
    <t>Hoegh-Guldberg, Ove/ABA-5420-2020; Hoegh-Guldberg, Ove/HJP-1821-2023; Convey, Peter/AAV-5728-2020; Hoegh-Guldberg, Ove/H-6169-2011; Parmesan, Camille/GVT-5674-2022; Menzel, Annette/B-1105-2013</t>
  </si>
  <si>
    <t>Hoegh-Guldberg, Ove/0000-0001-7510-6713; Convey, Peter/0000-0001-8497-9903; Hoegh-Guldberg, Ove/0000-0001-7510-6713; Fromentin, Jean-Marc/0000-0002-1496-4332; Parmesan, Camille/0000-0002-1515-274X; Menzel, Annette/0000-0002-7175-2512</t>
  </si>
  <si>
    <t>MAR 28</t>
  </si>
  <si>
    <t>10.1038/416389a</t>
  </si>
  <si>
    <t>534UX</t>
  </si>
  <si>
    <t>WOS:000174607800036</t>
  </si>
  <si>
    <t>Hileman, B</t>
  </si>
  <si>
    <t>Giant chunk of Antarctic ice shelf collapses</t>
  </si>
  <si>
    <t>1520-605X</t>
  </si>
  <si>
    <t>MAR 25</t>
  </si>
  <si>
    <t>535WT</t>
  </si>
  <si>
    <t>WOS:000174669900014</t>
  </si>
  <si>
    <t>Demirdjian, B; Ferry, D; Suzanne, J; Toubin, C; Picaud, S; Hoang, PNM; Girardet, C</t>
  </si>
  <si>
    <t>Structure and dynamics of ice Ih films upon HCl adsorption between 190 and 270 K. I. Neutron diffraction and quasielastic neutron scattering experiments</t>
  </si>
  <si>
    <t>JOURNAL OF CHEMICAL PHYSICS</t>
  </si>
  <si>
    <t>STRATOSPHERIC ICE; ANTARCTIC OZONE; WATER-ICE; SURFACE; SIMULATIONS; TRIHYDRATE; IONIZATION; DEPLETION; STICKING; OXIDE</t>
  </si>
  <si>
    <t>Neutron diffraction and quasielastic neutron experiments are performed to investigate the effect of HCl adsorption on the structure and dynamics of an ultra-thin ice Ih film (5 H2O bilayers thick) deposited on a crystalline MgO(001) substrate. Three HCl coverages have been studied 0.3, 0.6, and 1 monolayer (ML) in the temperature range 190-270 K. At 0.3 and 0.6 HCl monolayer, no mobility is measured at Tless than or equal to220 K. A translational mobility, which is a signature of a liquid phase, is observed at T=250 K. This phase occurs 15 K below the surface melting temperature of the bare ice film. The fraction of mobile molecules represents 30% (0.3 ML HCl) and 45% (0.6 ML HCl) of the film. At 1 HCl monolayer and T=220 K, HCl-dihydrate coexists with ice Ih, whereas at T=250 K the ice film becomes amorphous and only 9% of the film is mobile. The results are discussed within the context of atmospheric chemistry. (C) 2002 American Institute of Physics.</t>
  </si>
  <si>
    <t>Univ Aix Marseille 1, CNRS, CRMC2, F-13288 Marseille 9, France; Univ Franche Comte, Fac Sci, Mol Phys Lab, CNRS,UMR 6624, F-25030 Besancon, France; Univ Aix Marseille 3, CNRS, CRMC2, F-13288 Marseille 9, France</t>
  </si>
  <si>
    <t>Centre National de la Recherche Scientifique (CNRS); Aix-Marseille Universite; Centre National de la Recherche Scientifique (CNRS); Universite de Franche-Comte; Centre National de la Recherche Scientifique (CNRS); Aix-Marseille Universite</t>
  </si>
  <si>
    <t>Demirdjian, B (corresponding author), Univ Aix Marseille 1, CNRS, CRMC2, Campus Luminy,Case 913, F-13288 Marseille 9, France.</t>
  </si>
  <si>
    <t>Ferry, Daniel/O-2664-2014; Demirdjian, Benjamin/AAG-3054-2020; Demirdjian, Benjamin/AGH-4524-2022</t>
  </si>
  <si>
    <t>Ferry, Daniel/0000-0003-1469-9871; Demirdjian, Benjamin/0000-0003-1453-5041; TOUBIN, Celine/0000-0002-7379-8178</t>
  </si>
  <si>
    <t>AMER INST PHYSICS</t>
  </si>
  <si>
    <t>MELVILLE</t>
  </si>
  <si>
    <t>CIRCULATION &amp; FULFILLMENT DIV, 2 HUNTINGTON QUADRANGLE, STE 1 N O 1, MELVILLE, NY 11747-4501 USA</t>
  </si>
  <si>
    <t>0021-9606</t>
  </si>
  <si>
    <t>J CHEM PHYS</t>
  </si>
  <si>
    <t>J. Chem. Phys.</t>
  </si>
  <si>
    <t>MAR 22</t>
  </si>
  <si>
    <t>10.1063/1.1454990</t>
  </si>
  <si>
    <t>530NH</t>
  </si>
  <si>
    <t>WOS:000174363700048</t>
  </si>
  <si>
    <t>Bell, RE; Studinger, M; Tikku, AA; Clarke, GKC; Gutner, MM; Meertens, C</t>
  </si>
  <si>
    <t>Origin and fate of Lake Vostok water frozen to the base of the East Antarctic ice sheet</t>
  </si>
  <si>
    <t>The subglacial Lake Vostok may be a unique reservoir of genetic material and it may contain organisms with distinct adaptations(1-3), but it has yet to be explored directly. The lake and the overlying ice sheet are closely linked, as the ice-sheet thickness drives the lake circulation, while melting and freezing at the ice-sheet base will control the flux of water, biota and sediment through the lake(4-7). Here we present a reconstruction of the ice flow trajectories for the Vostok core site, using ice-penetrating radar data and Global Positioning System (GPS) measurements of surface ice velocity. We find that the ice sheet has a significant along-lake flow component, persistent since the Last Glacial Maximum. The rates at which ice is frozen (accreted) to the base of the ice sheet are greatest at the shorelines, and the accreted ice layer is subsequently transported out of the lake. Using these new flow field and velocity measurements, we estimate the time for ice to traverse Lake Vostok to be 16,000-20,000 years. We infer that most Vostok ice analysed to date was accreted to the ice sheet close to the western shoreline, and is therefore not representative of open lake conditions. From the amount of accreted lake water we estimate to be exported along the southern shoreline, the lake water residence time is about 13,300 years.</t>
  </si>
  <si>
    <t>Columbia Univ, Lamont Doherty Earth Observ, Palisades, NY 10964 USA; Univ British Columbia, Dept Earth &amp; Ocean Sci, Vancouver, BC V6T 1Z4, Canada; Yale Univ, Dept Geol &amp; Geophys, New Haven, CT 06511 USA; UNAVCO, UCAR Facil, Boulder, CO 80307 USA</t>
  </si>
  <si>
    <t>Columbia University; University of British Columbia; Yale University</t>
  </si>
  <si>
    <t>Bell, RE (corresponding author), Columbia Univ, Lamont Doherty Earth Observ, Palisades, NY 10964 USA.</t>
  </si>
  <si>
    <t>Meertens, Charles/0000-0003-1811-0307; Studinger, Michael/0000-0003-1265-4741</t>
  </si>
  <si>
    <t>MAR 21</t>
  </si>
  <si>
    <t>10.1038/416307a</t>
  </si>
  <si>
    <t>532NP</t>
  </si>
  <si>
    <t>WOS:000174482200038</t>
  </si>
  <si>
    <t>Erickson, JR; Sidell, BD; Moerland, TS</t>
  </si>
  <si>
    <t>Differences in calcium-binding characteristics of parvalbumins from Antarctic and temperate teleost fish</t>
  </si>
  <si>
    <t>FASEB JOURNAL</t>
  </si>
  <si>
    <t>Florida State Univ, Dept Biol Sci, Tallahassee, FL 32306 USA; Univ Maine, Sch Marine Sci, Orono, ME 04469 USA</t>
  </si>
  <si>
    <t>State University System of Florida; Florida State University; University of Maine System; University of Maine Orono</t>
  </si>
  <si>
    <t>FEDERATION AMER SOC EXP BIOL</t>
  </si>
  <si>
    <t>0892-6638</t>
  </si>
  <si>
    <t>FASEB J</t>
  </si>
  <si>
    <t>Faseb J.</t>
  </si>
  <si>
    <t>MAR 20</t>
  </si>
  <si>
    <t>A44</t>
  </si>
  <si>
    <t>A45</t>
  </si>
  <si>
    <t>Biochemistry &amp; Molecular Biology; Biology; Cell Biology</t>
  </si>
  <si>
    <t>Biochemistry &amp; Molecular Biology; Life Sciences &amp; Biomedicine - Other Topics; Cell Biology</t>
  </si>
  <si>
    <t>533MG</t>
  </si>
  <si>
    <t>WOS:000174533600249</t>
  </si>
  <si>
    <t>Guynn, SR; Scofield, MA; Petzel, DH</t>
  </si>
  <si>
    <t>The effect of warm-acclimation on Antarctic Trematomous bernacchii gill Na/K-ATPase α-subunit isoform protein composition.</t>
  </si>
  <si>
    <t>Creighton Univ, Sch Med, Omaha, NE 68178 USA</t>
  </si>
  <si>
    <t>Creighton University</t>
  </si>
  <si>
    <t>WOS:000174533600248</t>
  </si>
  <si>
    <t>Magnoni, LJ</t>
  </si>
  <si>
    <t>Is the gluconeogenic pathway cold adapted in Antarctic fishes?</t>
  </si>
  <si>
    <t>Magnoni, Leonardo/GYU-9334-2022; Magnoni, Leonardo Julián/A-6275-2011</t>
  </si>
  <si>
    <t>Magnoni, Leonardo Julián/0000-0001-8449-6071</t>
  </si>
  <si>
    <t>A47</t>
  </si>
  <si>
    <t>WOS:000174533600264</t>
  </si>
  <si>
    <t>Davidson, A; Belbin, L</t>
  </si>
  <si>
    <t>Exposure of natural Antarctic marine microbial assemblages to ambient UV radiation: effects on the marine microbial community</t>
  </si>
  <si>
    <t>antarctica; UVB radiation; marine ecology; phytoplankton; protozoa; bacteria</t>
  </si>
  <si>
    <t>ULTRAVIOLET-B RADIATION; SITU ENCLOSURE EXPERIMENT; ALTITUDE MOUNTAIN LAKE; COASTAL WATERS; PHYTOPLANKTON COMMUNITIES; SPECIES COMPOSITION; SOUTHERN-OCEAN; TROPHIC LEVELS; CARBON; IMPACT</t>
  </si>
  <si>
    <t>The effect of ambient solar UV radiation on natural protist (phytoplankton and protozoan) assemblages from Antarctic coastal waters was determined. Subsamples of the community were exposed to UV radiation attenuated to equivalent water column depths (ED) of 1.0, 10, 3.0, 3,6 and greater than or equal to 20 m for periods of between 8 h and 1 wk. Total concentrations of phytoplankton in treatments exposed at 3.0 and 3,6 m ED were similar to those in control treatments. However, exposure of phytoplankton at less than or equal to 2.0 m ED for greater than or equal to 1 d reduced overall cell size, concentration and biomass, Following UV exposure, some species of phytoplankton died, some flourished and others were unaffected, In contrast, the total concentrations of protozoans at less than or equal to 2.0 m ED for 1 greater than or equal to d were commonly higher than in controls, and 2- to 3-fold higher than at 3.0 and 3.6 m ED. Significant negative correlation was observed between the total concentrations of phytoplankton and protozoa, showing that UV-induced mortality of phytoplankton resulted, directly or indirectly, in an increase in the concentrations of protozoans. Our results showed that UV radiation can change the biomass and species composition of marine microbial communities, altering size and availability of food for higher trophic levels and changing their trophic structure. Thus, increased UVB as a result of ozone depletion is likely to change food web structure and function and may influence biogeochemical cycles.</t>
  </si>
  <si>
    <t>Davidson, A (corresponding author), Australian Antarctic Div, Channel Highway, Kingston, Tas 7050, Australia.</t>
  </si>
  <si>
    <t>Belbin, Lee/0000-0001-8900-6203</t>
  </si>
  <si>
    <t>MAR 15</t>
  </si>
  <si>
    <t>10.3354/ame027159</t>
  </si>
  <si>
    <t>536YN</t>
  </si>
  <si>
    <t>WOS:000174729600006</t>
  </si>
  <si>
    <t>Ebinghaus, R; Kock, HH; Temme, C; Einax, JW; Löwe, AG; Richter, A; Burrows, JP; Schroeder, WH</t>
  </si>
  <si>
    <t>Antarctic springtime depletion of atmospheric mercury</t>
  </si>
  <si>
    <t>ENVIRONMENTAL SCIENCE &amp; TECHNOLOGY</t>
  </si>
  <si>
    <t>BROMINE-MONOXIDE; OZONE DEPLETION; SPECIATION; TRENDS; BUDGET; OCEAN; GOME; BRO</t>
  </si>
  <si>
    <t>Unlike other heavy metals that are inherently associated with atmospheric aerosols, mercury in ambient air exists predominantly in the gaseous elemental form. Because of its prolonged atmospheric residence time, elemental mercury vapor is distributed on a global scale. Recently, Canadian researchers have discovered that total gaseous mercury levels in the lower tropospheric boundary layer in the Canadian Arctic are often significantly depleted during the months after polar sunrise. A possible explanation may involve oxidation of elemental mercury, followed by adsorption and deposition of the oxidized form, leading to an increased input of atmospheric mercury into the Arctic ecosystem. Here we present the first continuous high-time-resolution measurements of total gaseous mercury in the Antarctic covering a 12-month period between January 2000 and January 2001 at the German Antarctic research station Neumayer (70degrees39' S, 8degrees15' W). We report that mercury depletion events also occur in the Antarctic after polar sunrise and Compare our measurements with a data set from Alert, Nunavut, Canada. We also present indications that BrO radicals and ozone play a key role in the boundary-layer chemistry during springtime mercury depletion events in the Antarctic troposphere.</t>
  </si>
  <si>
    <t>GKSS Forschungszentrum Geesthacht GmbH, Inst Coastal Res Phys &amp; Chem Anal, D-21502 Geesthacht, Germany; Univ Jena, Dept Environm Anal, Inst Inorgan &amp; Analyt Chem, D-07743 Jena, Germany; Alfred Wegener Inst Polar &amp; Marine Res, D-27568 Bremerhaven, Germany; Univ Bremen, Inst Environm Phys, D-28359 Bremen, Germany; Meteorol Serv Canada, Toronto, ON M3H 5T4, Canada</t>
  </si>
  <si>
    <t>Helmholtz Association; Helmholtz-Zentrum Hereon; Friedrich Schiller University of Jena; Helmholtz Association; Alfred Wegener Institute, Helmholtz Centre for Polar &amp; Marine Research; University of Bremen; Environment &amp; Climate Change Canada; Meteorological Service of Canada</t>
  </si>
  <si>
    <t>Ebinghaus, R (corresponding author), GKSS Forschungszentrum Geesthacht GmbH, Inst Coastal Res Phys &amp; Chem Anal, D-21502 Geesthacht, Germany.</t>
  </si>
  <si>
    <t>Burrows, John Philip/AAF-8468-2019; Richter, Andreas/C-4971-2008</t>
  </si>
  <si>
    <t>Burrows, John Philip/0000-0002-6821-5580; Richter, Andreas/0000-0003-3339-212X</t>
  </si>
  <si>
    <t>0013-936X</t>
  </si>
  <si>
    <t>ENVIRON SCI TECHNOL</t>
  </si>
  <si>
    <t>Environ. Sci. Technol.</t>
  </si>
  <si>
    <t>10.1021/es015710z</t>
  </si>
  <si>
    <t>Engineering, Environmental; Environmental Sciences</t>
  </si>
  <si>
    <t>Engineering; Environmental Sciences &amp; Ecology</t>
  </si>
  <si>
    <t>532EF</t>
  </si>
  <si>
    <t>WOS:000174458100014</t>
  </si>
  <si>
    <t>Marshall, GJ; Lagun, V; Lachlan-Cope, TA</t>
  </si>
  <si>
    <t>Changes in Antarctic Peninsula tropospheric temperatures from 1956 to 1999: A synthesis of observations and reanalysis data</t>
  </si>
  <si>
    <t>Antarctic Peninsula; climate change; surface temperature; tropospheric temperature; reanalysis</t>
  </si>
  <si>
    <t>SEA-ICE; SEMIANNUAL OSCILLATION; SOUTHERN-HEMISPHERE; NCEP/NCAR REANALYSIS; CLIMATE VARIABILITY; BELLINGSHAUSEN SEAS; SURFACE PRESSURE; OZONE DEPLETION; PRECIPITATION; SENSITIVITY</t>
  </si>
  <si>
    <t>The surface warming at Faraday station in the western Antarctic Peninsula is one of the largest observed anywhere over the last 50 years, yet the physical mechanisms driving this climate change are poorly understood. In this paper we synthesize radiosonde temperature observations from three Peninsula stations and NCEP-NCAR reanalysis data in order to examine contemporaneous regional tropospheric temperature trends (1956-99), which may in turn help us to understand better the causes of the surface warming. The reanalysis data are utilized in two ways: (i) to provide long-term mean monthly offsets between Faraday, which ceased radiosonde observations in 1982, and two other stations in the region having more recent data, Bellingshausen and Marambio, in order to create post-1982 simulated Faraday data; (ii) after having any spurious trends and bias removed, to provide directly a monthly value for Faraday when no equivalent value from regional observations is available. Using available months of overlap, a comparison between temperature observations and simulated data suggests that the latter are a reasonable facsimile of the former. The synthesized time-series of tropospheric temperatures reveal a statistically significant mean annual tropospheric (850-300 hPa) warming above Faraday between 1956 and 1999 of similar to0.027 +/- 0.022degreesC year(-1). Winter and summer both show a warming trend, with significance varying with height and season. Annually, the mean tropospheric warming is half that at the surface, Unlike the surface warming, the calculated tropospheric warming trend is no greater than observed at other Antarctic stations, and indeed is not significantly greater than the background global warming trend for most of the period examined. Thus, we cannot dismiss the possibility that the Peninsula surface warming may simply be a response to a global warming magnified by the observed strong regional feedback between sea-ice extent and surface temperature during winter. Copyright (C) 2002 Royal Meteorological Society.</t>
  </si>
  <si>
    <t>British Antarctic Survey, NERC, Cambridge CB3 0ET, England; Russian Fed Serv Hydrometeorol &amp; Environm Monitor, Arctic &amp; Antarctic Res Inst, St Petersburg 199397, Russia</t>
  </si>
  <si>
    <t>UK Research &amp; Innovation (UKRI); Natural Environment Research Council (NERC); NERC British Antarctic Survey; Arctic &amp; Antarctic Research Institute</t>
  </si>
  <si>
    <t>Marshall, GJ (corresponding author), British Antarctic Survey, NERC, High Cross,Madingley Rd, Cambridge CB3 0ET, England.</t>
  </si>
  <si>
    <t>10.1002/joc.758</t>
  </si>
  <si>
    <t>535MY</t>
  </si>
  <si>
    <t>WOS:000174649300003</t>
  </si>
  <si>
    <t>Castro, M; Encarnaçào, P; Tully, O</t>
  </si>
  <si>
    <t>The effect of dietary antioxidants on lipofuscin accumulation in the crustacean brain</t>
  </si>
  <si>
    <t>JOURNAL OF EXPERIMENTAL MARINE BIOLOGY AND ECOLOGY</t>
  </si>
  <si>
    <t>lipofuscin; fluorescent age-pigment; ageing; age determination; antioxidants; Crustacea</t>
  </si>
  <si>
    <t>FRESH-WATER CRAYFISH; RETINAL-PIGMENT EPITHELIUM; LOBSTER HOMARUS-GAMMARUS; KRILL EUPHAUSIA-SUPERBA; MUSSEL PERNA-VIRIDIS; AGE-PIGMENT; ANTARCTIC KRILL; MORPHOLOGICAL LIPOFUSCIN; NEURONAL LIPOFUSCIN; TORPEDO-MARMORATA</t>
  </si>
  <si>
    <t>Lipofuscin accumulation is associated with ageing at the subcellular level. A strong correlation between lipofuscin and age has been found in crustaceans using histological techniques. This association has been proposed as the basis for a methodology to age crustaceans and in some cases lipofuscin levels were found to be better correlated with age than size. The experiment presented here was designed to test the potential effect of diet, in particular dietary antioxidants, on lipofuscin accumulation and age estimation. The shrimp, Penaeus japonicus, was reared in an aquaculture facility and fed commercial pellets, with modified vitamins C and E contents. One group was fed with levels of vitamins C and E of 1000 and 150 mg/kg, respectively, and another group with 2500 and 5000 mg/kg, respectively. The experiment started when the shrimp were 19 weeks old. Samples were obtained at this point and at ages 33 and 43 weeks. Lipofuscin was measured in the nerve cords (antennal neuropils and oesophageal connectives) in an area adjacent to the brain. Dietary antioxidants significantly affected lipofuscin levels. High vitamin content in the diet resulted in lower percentage of the observed area covered with lipofuscin, lower lipofuscin granule density and lower average granule size. Gender had no effect on any of these variables and granule size did not significantly change within each treatment. Lipofuscin area and granule density increased with age in both vitamin treatments. These results suggest that age estimation using lipofuscin indices may be biased when; (1) wild populations are dispersed over diverse environments; (2) the age estimation of wild individuals is based on the results obtained using laboratory-reared individuals. (C) 2002 Elsevier Science B.V. All rights reserved.</t>
  </si>
  <si>
    <t>Univ Algarve, Ctr Marine Sci, CCMar, P-8000 Faro, Portugal; Univ Dublin Trinity Coll, Dept Zool, Dublin 2, Ireland</t>
  </si>
  <si>
    <t>Universidade do Algarve; Trinity College Dublin</t>
  </si>
  <si>
    <t>Castro, M (corresponding author), Univ Algarve, Ctr Marine Sci, CCMar, P-8000 Faro, Portugal.</t>
  </si>
  <si>
    <t>Castro, Margarida/N-1091-2013</t>
  </si>
  <si>
    <t>Castro, Margarida/0000-0002-7860-2074</t>
  </si>
  <si>
    <t>0022-0981</t>
  </si>
  <si>
    <t>J EXP MAR BIOL ECOL</t>
  </si>
  <si>
    <t>J. Exp. Mar. Biol. Ecol.</t>
  </si>
  <si>
    <t>PII S0022-0981(01)00388-4</t>
  </si>
  <si>
    <t>10.1016/S0022-0981(01)00388-4</t>
  </si>
  <si>
    <t>Ecology; Marine &amp; Freshwater Biology</t>
  </si>
  <si>
    <t>532QN</t>
  </si>
  <si>
    <t>WOS:000174486700005</t>
  </si>
  <si>
    <t>Timmermann, R; Beckmann, A; Hellmer, HH</t>
  </si>
  <si>
    <t>Simulations of ice-ocean dynamics in the Weddell Sea 1. Model configuration and validation</t>
  </si>
  <si>
    <t>coupled ice-ocean model; sub-ice shelf modeling; Southern Ocean; Weddell Sea; sea ice extent; thickness; and drift; BRIOS</t>
  </si>
  <si>
    <t>ARCTIC ICE; NUMERICAL-MODEL; SOUTHERN; CIRCULATION; SENSITIVITY; TOPOGRAPHY; PARAMETERIZATION; THICKNESS; TRANSPORT; IMPACT</t>
  </si>
  <si>
    <t>In the framework of the Bremerhaven Regional Ice Ocean Simulations a coupled sea ice-ocean model, based on a dynamic-thermodynamic sea ice model and the S-coordinate Primitive Equation Model, has been developed. The model is run on a circumpolar grid that is focused on the Weddell Sea. It includes the major Antarctic ice shelves; ice shelf-ocean interaction is described by the sea ice model's thermodynamic component. Numerical simulations are forced with 6 hourly data of the European Centre for Medium-Range Weather Forecasts reanalysis of the period 1985-1993 and validated against observations of hydrography as well as sea ice extent, thickness, and drift. Qualitatively and quantitatively, a good agreement with observations is achieved. The basin-wide circulation features a double-cell structure of the Weddell Gyre with maximum transports close to recent observations. Summer sea ice coverage is underestimated, but winter ice extent, as well as sea ice thickness and drift, is well reproduced.</t>
  </si>
  <si>
    <t>Alfred Wegener Inst Polar &amp; Marine Res, D-27515 Bremerhaven, Germany</t>
  </si>
  <si>
    <t>Alfred Wegener Inst Polar &amp; Marine Res, Postfach 12 01 61, D-27515 Bremerhaven, Germany.</t>
  </si>
  <si>
    <t>rtimmerm@awi-bremerhaven.de</t>
  </si>
  <si>
    <t>Hellmer, Hartmut/0000-0002-9357-9853</t>
  </si>
  <si>
    <t>C3</t>
  </si>
  <si>
    <t>10.1029/2000JC000741</t>
  </si>
  <si>
    <t>609UH</t>
  </si>
  <si>
    <t>WOS:000178922600002</t>
  </si>
  <si>
    <t>Timmermann, R; Hellmer, HH; Beckmann, A</t>
  </si>
  <si>
    <t>Simulations of ice-ocean dynamics in the Weddell Sea 2. Interannual variability 1985-1993</t>
  </si>
  <si>
    <t>Antarctic Circumpolar Wave; Weddell Sea water mass formation; Filchner-Ronne Ice Shelf; sub-ice shelf circulation; interannual variability; BRIOS</t>
  </si>
  <si>
    <t>BOTTOM WATER FORMATION; THERMOHALINE CIRCULATION; MODEL; SHELF; RONNE; BENEATH</t>
  </si>
  <si>
    <t>Investigations of sea ice-ocean interaction on the continental shelf in the southwestern Weddell Sea reveal a strong correlation between fluctuations of atmospheric forcing and sea ice formation. Anomalies of meridional wind stress in the inner Weddell Sea are consistent with the phase of the Antarctic Circumpolar Wave. Positive anomalies of northward wind stress cause an increase of sea ice export in the same year and of sea ice formation in the following year, leading to an increased production of High-Salinity Shelf Water. Driven by a varying zonal density distribution over the continental shelf, the circulation in the Filchner-Ronne Ice Shelf cavity fluctuates between two modes, each of which features a characteristic distribution of basal freezing and melting regions. Thus signals of interannual atmospheric variability propagate into the deep ocean and the sub-ice shelf cavities.</t>
  </si>
  <si>
    <t>10.1029/2000JC000742</t>
  </si>
  <si>
    <t>WOS:000178922600001</t>
  </si>
  <si>
    <t>Williams, MJM</t>
  </si>
  <si>
    <t>Response in a regional model for the Southeastern Pacific Ocean to open boundary conditions</t>
  </si>
  <si>
    <t>Southeast Pacific; ocean modeling; open boundary conditions; Antarctic Intermediate Water</t>
  </si>
  <si>
    <t>TOTAL GEOSTROPHIC CIRCULATION; FLOW PATTERNS; WORLD OCEAN; WATER; VARIABILITY; CURRENTS; TRACERS</t>
  </si>
  <si>
    <t>An assessment of four open ocean boundary stream function conditions based on different data sources for a regional model of the Southeast Pacific Ocean (SEP; 103degreesW to the Chilean coast and 16.5degreesS to 54degreesS) is presented. The model run, with the boundary conditions which most successfully describes the SEP, is forced with a stream function extracted from a global ocean circulation model and is suitable for forming the basis of climate process studies in the SEP. Investigations of other model boundary conditions based on observational data, two using a Sverdrup balance argument to determine the stream function from two commonly used wind stress climatologies and a third using a geostrophic balance argument to determine the stream function from WOCE hydrographic data, were less successful. The main difficulty experienced in all of the model runs was the lack of formation of a sufficiently fresh salinity minimum at intermediate depths. This is linked to the inadequate production of Antarctic Intermediate Water (AAIW) within the model domain or insufficient AAIW propagating across the open boundaries. Comparisons between the model runs highlight the level of uncertainty in aspects of the oceanography of the SEP that govern water mass formation in the region.</t>
  </si>
  <si>
    <t>Univ Copenhagen, Niels Bohr Inst Astron Phys &amp; Geophys, Danish Ctr Earth Syst Sci, DK-2100 Copenhagen, Denmark</t>
  </si>
  <si>
    <t>University of Copenhagen; Niels Bohr Institute</t>
  </si>
  <si>
    <t>Williams, MJM (corresponding author), Univ Copenhagen, Niels Bohr Inst Astron Phys &amp; Geophys, Danish Ctr Earth Syst Sci, Juliane Maries Vej 30, DK-2100 Copenhagen, Denmark.</t>
  </si>
  <si>
    <t>m.williams@niwa.cri.nz</t>
  </si>
  <si>
    <t>Williams, Michael/H-9674-2014</t>
  </si>
  <si>
    <t>10.1029/2000JC000539</t>
  </si>
  <si>
    <t>WOS:000178922600008</t>
  </si>
  <si>
    <t>Dianeutral exchange between intermediate and deep water in the tropical Atlantic</t>
  </si>
  <si>
    <t>Tropical Atlantic; dianeutral exchange; level of no motion; neutral surfaces; Turner angle; water masses</t>
  </si>
  <si>
    <t>WESTERN BOUNDARY CURRENT; EDDY-INDUCED ADVECTION; NORTH-ATLANTIC; INDIAN-OCEAN; MASS CONVERSION; CIRCULATION; TRANSPORT; EQUATOR; TRANSFORMATION; THERMOCLINE</t>
  </si>
  <si>
    <t>In the tropical Atlantic the vertical distance between Antarctic Intermediate Water (AAIW) and upper North Atlantic Deep Water (uNADW) cores (defined by their salinity extrema) exceeds 1000 m. In this thick layer, two additional water mass signals, characterized mainly by temperature extrema, are identified in the western boundary region. They are the intrusive flows of upper Circumpolar Deep Water (uCDW) and shallow uNADW (suNADW). The latter is considered a water type of uNADW. Since uCDW is a northward flow as a lower phase of AAIW and suNADW is a southward flow as an upper phase of NADW, a reference of level of no motion (LNM) is defined between uCDW and suNADW at the neutral density surface sigma(N) = 27.70 (at about 1150 m). This surface is coincident with a minimum of dianeutral velocity and measured velocity by lowered acoustic Doppler current profiler. Dianeutral motion processes are examined across the five selected neutral surfaces sigma(N) = 27.45, 27.60, 27.70, 27.80, and 27.90 that span the depth range between AAIW and uNADW and follow the major water mass signals. Dianeutral transport shows a decreasing tendency toward the middle sigma(N) = 27.70 neutral surface and reaches a minimum of 0.6 Sv (1 Sv = 10(6) m(3) s(-1)), integrated in the tropical region between 10degreesN and 10degreesS. Thus the weakening of dianeutral motion and required minimum of epineutral advection at LNM seem to be relevant.</t>
  </si>
  <si>
    <t>10.1029/2000JC000520</t>
  </si>
  <si>
    <t>WOS:000178922600003</t>
  </si>
  <si>
    <t>Jin, YK; Larter, RD; Kim, Y; Nam, SH; Kim, KJ</t>
  </si>
  <si>
    <t>Post-subduction margin structures along Boyd Strait, Antarctic Peninsula</t>
  </si>
  <si>
    <t>Boyd Strait; post-subduction margin; active margin; Hero Fracture Zone; Antarctic Peninsula</t>
  </si>
  <si>
    <t>PACIFIC MARGIN; EVOLUTION; RECORD</t>
  </si>
  <si>
    <t>The Pacific margin of the Antarctic Peninsula to the southwest of the Hero Fracture Zone (HFZ) is a former subducting margin which became inactive following the arrival of ridge crest segments of the Antarctic - Phoenix ridge at the margin during the Tertiary. In contrast, the part of the margin to the northeast of the HFZ remains active. Tertiary convergence was approximately perpendicular to the margin and ongoing motion is thought to have the same orientation. A new seismic reflection profile running along Boyd Strait, just northeast of the landward projection of the HFZ, shows major structural components similar to those typically observed along the margin to the southwest of the HFZ. In order of increasing proximity to the margin, these components are: the inner shelf, the shelf basin, the mid-shelf basement high (MSBH), and the outer shelf. The continuation of the post-subduction margin structures to the active margin suggests that the boundary between crust with passive and active margins characteristics is not sharply defined. Our postulated scenario for tectonic evolution along Boyd Strait is that: (1) before the arrival of the last ridge crest segment to the southwest of the HFZ, the inner shelf and the shelf basin were part of a Cretaceous-Tertiary arc and forearc area, (2) after the arrival, thermal effects resulting from interaction of the ridge crest with the margin just southwest of the HFZ lead to the formation of the MSBH to the northeast, but MSBH uplift in Boyd Strait did not prevent concurrent cross-shelf sediment transport contributing to development of an extensive outer shelf on the seaward flank of the MSBH, (3) Recent extension in Bransfield Strait, a marginal basin to the northeast of the landward projection of the HFZ, has caused about 10 kin of seaward deflection in the strike of the part of the MSBH to the northeast of the projection of the HFZ. (C) 2002 Elsevier Science B.V. All rights reserved.</t>
  </si>
  <si>
    <t>Korea Ocean Res &amp; Dev Inst, Polar Sci Lab, Seoul 425600, South Korea; British Antarctic Survey, Cambridge CB3 0ET, England</t>
  </si>
  <si>
    <t>Korea Institute of Ocean Science &amp; Technology (KIOST); UK Research &amp; Innovation (UKRI); Natural Environment Research Council (NERC); NERC British Antarctic Survey</t>
  </si>
  <si>
    <t>Jin, YK (corresponding author), Korea Ocean Res &amp; Dev Inst, Polar Sci Lab, POB 29, Seoul 425600, South Korea.</t>
  </si>
  <si>
    <t>Larter, Robert/0000-0002-8414-7389</t>
  </si>
  <si>
    <t>PII S0040-1951(01)00281-5</t>
  </si>
  <si>
    <t>10.1016/S0040-1951(01)00281-5</t>
  </si>
  <si>
    <t>558MH</t>
  </si>
  <si>
    <t>WOS:000175970800004</t>
  </si>
  <si>
    <t>Alimenti, C; Ortenzi, C; Carratore, V; Luporini, P</t>
  </si>
  <si>
    <t>Structural characterization of a protein pheromone from a cold-adapted (Antarctic) single-cell eukaryote, the ciliate Euplotes nobilii</t>
  </si>
  <si>
    <t>FEBS LETTERS</t>
  </si>
  <si>
    <t>cold-adapted protein; glycine-rich motif; chemical cell signal; ciliate mating type; Antarctic biology</t>
  </si>
  <si>
    <t>SECONDARY STRUCTURE; NMR STRUCTURE; RAIKOVI; ER-1; ENZYMES; IDENTIFICATION; ADAPTATION; GENES</t>
  </si>
  <si>
    <t>Free-living species of ciliated Protozoa control their vegetative (mitotic) proliferation and mating (sexual) processes by diffusible, cell type-specific protein signals (pheromones). One of these molecules, designated En-2, was isolated from a species, Euplotes nobilii, living in the stably cold marine waters of Antarctica, and its complete amino acid sequence of 60 residues was determined by automated Edman degradation of the whole protein and peptides generated by trypsin digestion. The proposed sequence is: DIEDFYTSETCPYKNDSQLA(20)-WDTCSGGTGNCGTVCCGQCF(40)SFPVSQSCAGMAD-SNDCPNA(60). The En-2 structure appears to be characterized by an adaptive insertion of a glycine-rich motif potentially capable to confer more flexibility to a functionally critical region of the molecule. (C) 2002 Federation of European Biochemical Societies. Published by Elsevier Science B.V. All rights reserved.</t>
  </si>
  <si>
    <t>Univ Camerino, Dipartimento Biol Mol Cellulare &amp; Anim, I-62032 Camerino, Italy; CNR, IBPE, Ist Biochim Proteine &amp; Enzimol, I-80125 Naples, Italy</t>
  </si>
  <si>
    <t>University of Camerino; Consiglio Nazionale delle Ricerche (CNR); Istituto di Biochimica delle Proteine (IBP-CNR)</t>
  </si>
  <si>
    <t>Luporini, P (corresponding author), Univ Camerino, Dipartimento Biol Mol Cellulare &amp; Anim, I-62032 Camerino, Italy.</t>
  </si>
  <si>
    <t>piero.luporini@unicam.it</t>
  </si>
  <si>
    <t>ORTENZI, Claudio/0000-0002-9051-4085; Alimenti, Claudio/0000-0003-2231-2948</t>
  </si>
  <si>
    <t>0014-5793</t>
  </si>
  <si>
    <t>1873-3468</t>
  </si>
  <si>
    <t>FEBS LETT</t>
  </si>
  <si>
    <t>FEBS Lett.</t>
  </si>
  <si>
    <t>MAR 13</t>
  </si>
  <si>
    <t>PII S0014-5793(02)02393-1</t>
  </si>
  <si>
    <t>10.1016/S0014-5793(02)02393-1</t>
  </si>
  <si>
    <t>Biochemistry &amp; Molecular Biology; Biophysics; Cell Biology</t>
  </si>
  <si>
    <t>542AY</t>
  </si>
  <si>
    <t>WOS:000175022400041</t>
  </si>
  <si>
    <t>Brierley, AS; Fernandes, PG; Brandon, MA; Armstromg, F; Millard, NW; McPhail, SD; Stevenson, P; Pebody, M; Perrett, J; Squires, M; Bone, DG; Griffiths, G</t>
  </si>
  <si>
    <t>Antarctic krill under sea ice: Elevated abundance in a narrow band just south of ice edge</t>
  </si>
  <si>
    <t>NORTHERN WEDDELL SEA; EUPHAUSIA-SUPERBA; ACOUSTIC OBSERVATIONS; EXTENT; ZONE</t>
  </si>
  <si>
    <t>We surveyed Antarctic krill (Euphausia superba) under sea ice using the autonomous underwater vehicle Autosub-2. Krill were concentrated within a band under ice between 1 and 13 kilometers south of the ice edge. Within this band, krill densities were fivefold greater than that of open water. The under-ice environment has tong been considered an important habitat for krill, but sampling difficulties have previously prevented direct observations under ice over the scale necessary for robust krill density estimation. Autosub-2 enabled us to make continuous high-resolution measurements of krill density under ice reaching 27 kilometers beyond the ice edge.</t>
  </si>
  <si>
    <t>British Antarctic Survey, Cambridge CB3 0ET, England; Marine Lab Aberdeen, Fisheries Res Serv, Aberdeen AB11 9DB, Scotland; Open Univ, Dept Earth Sci, Milton Keynes MK7 6AA, Bucks, England; Southampton Oceanog Ctr, Southampton SO14 3ZH, Hants, England</t>
  </si>
  <si>
    <t>UK Research &amp; Innovation (UKRI); Natural Environment Research Council (NERC); NERC British Antarctic Survey; Open University - UK; NERC National Oceanography Centre; University of Southampton</t>
  </si>
  <si>
    <t>Brierley, AS (corresponding author), Univ St Andrews, Gatty Marine Lab, St Andrews KY16 8LB, Fife, Scotland.</t>
  </si>
  <si>
    <t>Brandon, Mark A/A-5804-2010; Fernandes, Paul George/H-2972-2013; Brierley, Andrew/G-8019-2011</t>
  </si>
  <si>
    <t>Fernandes, Paul George/0000-0003-4135-115X; Brierley, Andrew/0000-0002-6438-6892; Brandon, Mark/0000-0002-7779-0958</t>
  </si>
  <si>
    <t>MAR 8</t>
  </si>
  <si>
    <t>10.1126/science.1068574</t>
  </si>
  <si>
    <t>529KW</t>
  </si>
  <si>
    <t>WOS:000174299500038</t>
  </si>
  <si>
    <t>Li, Q; Huber, JR</t>
  </si>
  <si>
    <t>The photodissociation of ClNO2 in argon and water clusters studied at 235 nm by the REMPI-TOF method</t>
  </si>
  <si>
    <t>CHEMICAL PHYSICS LETTERS</t>
  </si>
  <si>
    <t>CHLORINE EMISSIONS INVENTORY; ANTARCTIC OZONE DEPLETION; TIME-OF-FLIGHT; HETEROGENEOUS REACTIONS; NITROGEN-DIOXIDE; GASEOUS N2O5; ICE SURFACES; PHOTOCHEMISTRY; NACL; HCL</t>
  </si>
  <si>
    <t>The photodissociation of CINO2 embedded in argon and water clusters was investigated at 235 nm by detecting the Cl(P-2(3/2)) photofragments with resonance enhanced multiphoton ionization time-of-flight spectroscopy (REMPI-TOF). Under various cluster formation conditions the speed distributions of Cl(P-2(3/2)) were recorded. In contrast to the monomer photolysis only one decay channel was found to be active showing the fragments to be Boltzmann distributed and isotropic. In view of atmospheric chemistry, CINO2 in water clusters is a photolytical source of Cl and NO, radicals with low translational and internal energy. They are thus less favorable for consecutive reactions than the monomer products. (C) 2002 Elsevier Science B.V. All rights reserved.</t>
  </si>
  <si>
    <t>Univ Zurich, Inst Chem Phys, CH-8507 Zurich, Switzerland</t>
  </si>
  <si>
    <t>University of Zurich</t>
  </si>
  <si>
    <t>Huber, JR (corresponding author), Univ Zurich, Inst Chem Phys, Winterthurerstr 190, CH-8507 Zurich, Switzerland.</t>
  </si>
  <si>
    <t>Huber, j Robert/V-5949-2019</t>
  </si>
  <si>
    <t>0009-2614</t>
  </si>
  <si>
    <t>CHEM PHYS LETT</t>
  </si>
  <si>
    <t>Chem. Phys. Lett.</t>
  </si>
  <si>
    <t>MAR 5</t>
  </si>
  <si>
    <t>PII S0009-2614(02)00120-3</t>
  </si>
  <si>
    <t>10.1016/S0009-2614(02)00120-3</t>
  </si>
  <si>
    <t>535CX</t>
  </si>
  <si>
    <t>WOS:000174628600019</t>
  </si>
  <si>
    <t>Tabazadeh, A; Drdla, K; Schoeberl, MR; Hamill, P; Toon, OB</t>
  </si>
  <si>
    <t>Arctic ozone hole in a cold volcanic stratosphere</t>
  </si>
  <si>
    <t>ANTARCTIC OZONE; MOUNT-PINATUBO; POLAR VORTEX; AEROSOL; CLOUDS; RECOVERY; ERUPTION; DENITRIFICATION; CHARACTER; DEPLETION</t>
  </si>
  <si>
    <t>Optical depth records indicate that volcanic aerosols from major eruptions often produce clouds that have greater surface area than typical Arctic polar stratospheric clouds (PSCs). A trajectory cloud-chemistry model is used to study how volcanic aerosols could affect springtime Arctic ozone loss processes, such as chlorine activation and denitrification, in a cold winter within the current range of natural variability. Several studies indicate that severe denitrification can increase Arctic ozone loss by up to 30%. We show large PSC particles that cause denitrification in a nonvolcanic stratosphere cannot efficiently form in a volcanic environment. However, volcanic aerosols, when present at low altitudes, where Arctic PSCs cannot form, can extend the vertical range of chemical ozone loss in the lower stratosphere. Chemical processing on volcanic aerosols over a 10-km altitude range could increase the current levels of springtime column ozone loss by up to 70% independent of denitrification. Climate models predict that the lower stratosphere is cooling as a result of greenhouse gas built-up in the troposphere. The magnitude of column ozone loss calculated here for the 1999-2000 Arctic winter, in an assumed volcanic state, is similar to that projected for a colder future nonvolcanic stratosphere in the 2010 decade.</t>
  </si>
  <si>
    <t>NASA, Ames Res Ctr, Div Earth Sci, Moffett Field, CA 94035 USA; NASA, Goddard Space Flight Ctr, Greenbelt, MD 20771 USA; San Jose State Univ, Dept Phys, San Jose, CA 95192 USA; Univ Colorado, Atmospher &amp; Space Phys Lab, Program Atmospher &amp; Ocean Sci, Boulder, CO 80309 USA</t>
  </si>
  <si>
    <t>National Aeronautics &amp; Space Administration (NASA); NASA Ames Research Center; National Aeronautics &amp; Space Administration (NASA); NASA Goddard Space Flight Center; California State University System; San Jose State University; University of Colorado System; University of Colorado Boulder</t>
  </si>
  <si>
    <t>Tabazadeh, A (corresponding author), NASA, Ames Res Ctr, Div Earth Sci, MS-245-4, Moffett Field, CA 94035 USA.</t>
  </si>
  <si>
    <t>10.1073/pnas.052518199</t>
  </si>
  <si>
    <t>529DK</t>
  </si>
  <si>
    <t>WOS:000174284600007</t>
  </si>
  <si>
    <t>Chown, SL; McGeoch, MA; Marshall, DJ</t>
  </si>
  <si>
    <t>Diversity and conservation of invertebrates on the sub-Antarctic Prince Edward Islands</t>
  </si>
  <si>
    <t>AFRICAN ENTOMOLOGY</t>
  </si>
  <si>
    <t>Biodiversity and Conservation Symposium</t>
  </si>
  <si>
    <t>JUL, 2001</t>
  </si>
  <si>
    <t>PIETERMARITZBURG, SOUTH AFRICA</t>
  </si>
  <si>
    <t>biological invasions; climate change; seasonality; assemblage structure</t>
  </si>
  <si>
    <t>SOUTHERN-OCEAN ISLANDS; MARION-ISLAND; INDIAN-OCEAN; TERRESTRIAL ECOSYSTEM; CONTINENTAL FRAGMENT; WEEVILS COLEOPTERA; REGIONAL PROCESSES; MIROUNGA-LEONINA; GLOBAL PATTERNS; CLIMATIC-CHANGE</t>
  </si>
  <si>
    <t>The Prince Edward Islands form a unique component of South Africa's natural estate. Here we present an overview of the diversity of the invertebrate fauna found on Marion and Prince Edward Islands and the conservation threats facing it. The invertebrate fauna at the islands is well known owing to a significant recent effort to sample the entire fauna, although the nematodes remain poorly known. Mite, insect and springtail assemblages differ considerably between habitats and these patterns support an earlier distinction made between the epilithic and vegetated biotopes. Seasonal variation in the abundances of the arthropods is the norm, although the form of this seasonality varies considerably between species and between habitats. From a regional perspective, the biogeographic affinities of the fauna remain enigmatic. Nonetheless, it seems likely that isolation has been an important contributor to local, indigenous species richness on Marion Island, and speciation has clearly contributed several endemic species to the fauna. Introduced insect species richness is more closely related to mean annual temperature and the number of humans occupying islands in the sub-Antarctic region, and this pattern is reflected locally in the distribution of indigenous and exotic springtails on Marion Island. The introduced species are common in warm, moist habitats, while the indigenous species prefer colder, drier sites, Local climate change, in step with global trends, seems set to have pronounced influences on the invertebrate fauna. Direct effects are likely to take the form of increased abundances of introduced species because of their shorter life cycles and greater fecundity compared to indigenous species, which tend to be long-lived with low reproductive output. Indirect effects are likely to be the result of changes in predation patterns of introduced house mice, and changes in plant communities precipitated by the spread of invasive vascular plants, which in turn have a marked influence on invertebrate assemblages. Undoubtedly the largest conservation threats at the island are the interactions between climate change, introduced species, and human use. In particular, climate change is likely to mean the ready establishment of alien species propagules, while increasing human tide is likely to increase propagule pressure. Conservation of the invertebrates at the island will best be served by reduction in human use and stringent enforcement of the provisions of the management plan for these special nature reserves.</t>
  </si>
  <si>
    <t>Univ Stellenbosch, Dept Zool, ZA-7602 Matieland, South Africa</t>
  </si>
  <si>
    <t>Stellenbosch University</t>
  </si>
  <si>
    <t>Chown, SL (corresponding author), Univ Stellenbosch, Dept Zool, Private Bag X1, ZA-7602 Matieland, South Africa.</t>
  </si>
  <si>
    <t>Chown, Steven/ABD-7646-2021; McGeoch, Melodie/F-8353-2011; Chown, Steven/H-3347-2011</t>
  </si>
  <si>
    <t>Marshall, David/0000-0003-3771-5950; McGeoch, Melodie/0000-0003-3388-2241; Chown, Steven/0000-0001-6069-5105</t>
  </si>
  <si>
    <t>ENTOMOLOGICAL SOC SOUTHERN AFRICA</t>
  </si>
  <si>
    <t>HATFIELD</t>
  </si>
  <si>
    <t>PO BOX 13162, HATFIELD 0028, SOUTH AFRICA</t>
  </si>
  <si>
    <t>1021-3589</t>
  </si>
  <si>
    <t>1026-4914</t>
  </si>
  <si>
    <t>AFR ENTOMOL</t>
  </si>
  <si>
    <t>Afr. Entomol.</t>
  </si>
  <si>
    <t>MAR</t>
  </si>
  <si>
    <t>563GB</t>
  </si>
  <si>
    <t>WOS:000176247000007</t>
  </si>
  <si>
    <t>Jones, AG; Chown, SL; Gaston, KJ</t>
  </si>
  <si>
    <t>Terrestrial invertebrates of Gough Island: an assemblage under threat?</t>
  </si>
  <si>
    <t>biological invasions; Southern Ocean islands; introduced species; invertebrate conservation</t>
  </si>
  <si>
    <t>FERAL HOUSE MICE; SUB-ANTARCTIC MARION; PREHISTORIC EXTINCTIONS; CLIMATIC-CHANGE; SOUTH-GEORGIA; SPECIES-AREA; IMPACT; VEGETATION; INSECT; FAUNA</t>
  </si>
  <si>
    <t>The natural communities of Gough Island have the reputation of being amongst the most pristine of any cool-temperate oceanic island. However, Gough Island is relatively depauperate in indigenous invertebrates, and preliminary results of an ongoing terrestrial invertebrate survey have shown that introduced species now equal, or exceed, the numbers of indigenous species in many group,;, Furthermore many of these introductions are likely to have occurred within the last 50 years. Such high rates of recent introductions constitute a significant conservation threat to the indigenous invertebrates and the island's biodiversity as a whole. In addition, endemic invertebrate species are amongst the prey of a noninvertebrate introduction, the house mouse (Mus musculus Linn.). In this paper, we review the present knowledge of the invertebrates of Gough, report on the preliminary observations of the ongoing Gough Island Terrestrial Invertebrate Survey and discuss the implications of introduced species for the conservation of Gough Island's indigenous species.</t>
  </si>
  <si>
    <t>Univ Sheffield, Dept Anim &amp; Plant Sci, Biodivers &amp; Macroecol Grp, Sheffield S10 2TN, S Yorkshire, England</t>
  </si>
  <si>
    <t>University of Sheffield</t>
  </si>
  <si>
    <t>Univ Sheffield, Dept Anim &amp; Plant Sci, Biodivers &amp; Macroecol Grp, Sheffield S10 2TN, S Yorkshire, England.</t>
  </si>
  <si>
    <t>a.g.jones@sheffield.ac.uk</t>
  </si>
  <si>
    <t>Chown, Steven/ABD-7646-2021; Chown, Steven L/H-3347-2011</t>
  </si>
  <si>
    <t>WOS:000176247000008</t>
  </si>
  <si>
    <t>McClintock, JB</t>
  </si>
  <si>
    <t>Time for Antarctic scientists to reach out</t>
  </si>
  <si>
    <t>Univ Alabama, Birmingham, AL 35200 USA</t>
  </si>
  <si>
    <t>University of Alabama System; University of Alabama Birmingham</t>
  </si>
  <si>
    <t>McClintock, JB (corresponding author), Univ Alabama, Birmingham, AL 35200 USA.</t>
  </si>
  <si>
    <t>535CE</t>
  </si>
  <si>
    <t>WOS:000174627000001</t>
  </si>
  <si>
    <t>Linse, K; Brandt, A; Hilbig, B; Wegener, G</t>
  </si>
  <si>
    <t>Composition and distribution of suprabenthic fauna in the south-eastern Weddell Sea and off King George Island</t>
  </si>
  <si>
    <t>Antarctica; composition; Copepoda; distribution; suprabenthos</t>
  </si>
  <si>
    <t>75 DEGREES N; BATHYMETRIC DISTRIBUTION; PERACARID CRUSTACEANS; CALANOIDES-ACUTUS; CONTINENTAL-SHELF; SHETLAND ISLANDS; SAND COMMUNITY; ASSEMBLAGES; BIOMASS; BAY</t>
  </si>
  <si>
    <t>Composition, abundance, and distribution of suprabenthos from a depth between 1 and 1.33 in above the seafloor were analysed. The samples were taken during ANT XV/3 with RV Polarstern in February and March 1998 by means of the supranet of an epibenthic sledge along two transects in the southern Weddell Sea (Vestkapp and Halley Bay) and one east of King George Island. At each of these three transects, five to six stations were taken in water depth between 200 and 2000 in. In total, 34 057 specimens were sampled at 16 stations, yielding 1205 050 individuals for all stations standardized to 1000 m(3) hauls. Of these, copepods were usually the most abundant group in the supranet (805 822 ind 1000 m(-3)). The suprabenthic fauna of the southwest of Vestkapp (Weddell Sea) transect was dominated by planktonic taxa in terms of individual numbers especially at the deeper stations (938-1983 in). At Halley Bay the total abundance of plankton was lower but its relative abundance (&gt; 80%) was also high, whilst off King George Island peracarid crustaceans were an important fraction.</t>
  </si>
  <si>
    <t>Univ Hamburg, Zool Inst &amp; Museum, D-20146 Hamburg, Germany</t>
  </si>
  <si>
    <t>University of Hamburg</t>
  </si>
  <si>
    <t>Brandt, Angelika/C-1630-2018</t>
  </si>
  <si>
    <t>10.1017/S0954102002000512</t>
  </si>
  <si>
    <t>WOS:000174627000002</t>
  </si>
  <si>
    <t>Blazewicz-Paszkowycz, M; Ligowski, R</t>
  </si>
  <si>
    <t>Diatoms as food source indicator for some Antarctic Cumacea and Tanaidacea (Crustacea)</t>
  </si>
  <si>
    <t>Antarctic; Cumacea; diatoms; food; Tanaidacea</t>
  </si>
  <si>
    <t>The gut contents of three species of cumaceans: Eudorella splendida, Vaunthompsonia inermis and Campylaspis maculata, and three species of tanaids: Nototanais antarcticus, N. dimorphus and Peraeospinosus pushkini from the shelf of Admiralty Bay and two cumaceans: Diastylis mawsoni and Ekleptostylis debroyeri from the deeper Antarctic shelf were studied. With the exception of Campylaspis maculata, which is a predator or scavenger, and Ekleptostylis debroyeri, whose gut was filled with mud only, detritus was an important diet component of all the species studied. On the basis of qualitative and quantitative components of diatom taxa it can be concluded that the food of Diastylis mawsoni comes from the pelagial, whereas the food of the other peracarids is of benthic origin. Species inhabiting the shallowest waters consume almost exclusively epipelic food, whilst those living below the euphotic zone feed mostly on particles sedimented from the pelagial; taxa occurring at intermediate depths feed on pelagic matter, but also of epiphytic and of epipelic origin.</t>
  </si>
  <si>
    <t>Univ Lodz, Lab Polar Biol &amp; Oceanobiol, PL-90237 Lodz, Poland; Polish Acad Sci, Dept Antarctic Biol, PL-02141 Warsaw, Poland</t>
  </si>
  <si>
    <t>University of Lodz; Polish Academy of Sciences</t>
  </si>
  <si>
    <t>Blazewicz-Paszkowycz, M (corresponding author), Univ Lodz, Lab Polar Biol &amp; Oceanobiol, Banacha 12-16, PL-90237 Lodz, Poland.</t>
  </si>
  <si>
    <t>Błażewicz, Magdalena/J-5175-2017</t>
  </si>
  <si>
    <t>Blazewicz, Magdalena/0000-0002-4753-3424</t>
  </si>
  <si>
    <t>10.1017/S0954102002000524</t>
  </si>
  <si>
    <t>WOS:000174627000003</t>
  </si>
  <si>
    <t>Yau, C; Collins, MA; Bagley, PM; Everson, I; Priede, IG</t>
  </si>
  <si>
    <t>Scavenging by megabenthos and demersal fish on the South Georgia slope</t>
  </si>
  <si>
    <t>baited cameras; Dissostichus eleginoides; crabs; Paralomis; toothfish; south-west Atlantic</t>
  </si>
  <si>
    <t>DEEP ARABIAN SEA; BAITED CAMERA; NORTHEAST ATLANTIC; NEKTON FALLS; COMMUNITY; FLOOR; ASSEMBLAGES; CONSUMPTION; DISPERSAL; CARCASSES</t>
  </si>
  <si>
    <t>The scavenging megafauna of the South Georgia and Shag Rocks slope in the south-west Atlantic (625-1519 m) were investigated using autonomous baited camera systems. Two surveys were conducted: the first in 1997 (13 deployments) used a conventional 35 mm stills camera with a 200 J flash, whilst the second in 2000 (15 deployments) used low-light digital video cameras. The scavenging community responded rapidly to the arrival of bait on the sea floor and was dominated by stone crabs (Lithodidae) and toothfish (Dissostichus eleginoides). Stone crabs took up residence around the bait until it was consumed, with a maximum number of 108 in the field of view after four hours, The most frequently observed crab species was Paralomis formosa. Paralomis spinosissima, Neolithodes diomedea and Lithodes sp., were also observed. Toothfish were the most frequently observed scavenging fish and were seen during all but one deployment, typically making brief visits (1-2 min) to the bait, but appeared startled by the flash in the 1997 survey. Labriform swimming (sculling with the pectoral fins) was the principal form of locomotion in toothfish (0.22 body lengths (BL) sec(-1)), but they were capable of more rapid sub-carangiform (using caudal trunk and fin) motion (3 BL sec(-1)) when startled. Other scavenging fish observed included the blue-hake Antimora rostrata, grenadiers (Macrourus spp.), skates, liparids and zoarcids.</t>
  </si>
  <si>
    <t>Univ Aberdeen, Dept Zool, Aberdeen AB24 2TZ, Scotland; British Antarctic Survey, NERC, Cambridge CB3 0ET, England</t>
  </si>
  <si>
    <t>University of Aberdeen; UK Research &amp; Innovation (UKRI); Natural Environment Research Council (NERC); NERC British Antarctic Survey</t>
  </si>
  <si>
    <t>Collins, MA (corresponding author), Univ Aberdeen, Dept Zool, Tillydrone Ave, Aberdeen AB24 2TZ, Scotland.</t>
  </si>
  <si>
    <t>Collins, Martin A/J-8560-2017; , Martin/ABE-6728-2020</t>
  </si>
  <si>
    <t>10.1017/S0954102002000536</t>
  </si>
  <si>
    <t>WOS:000174627000004</t>
  </si>
  <si>
    <t>North, AW</t>
  </si>
  <si>
    <t>Larval and juvenile distribution and growth of Patagonian toothfish around South Georgia</t>
  </si>
  <si>
    <t>Dissostichus; distribution; growth; juvenile; larva; Notothenioidei</t>
  </si>
  <si>
    <t>EARLY-LIFE HISTORY; INTERANNUAL VARIABILITY; ANTARCTIC FISH; ABUNDANCE; COMMUNITY; SUMMER; SIZE; DIET; SEA</t>
  </si>
  <si>
    <t>Early stages of toothfish are reported from cruises between 1978 and 2001. South Georgia was regularly sampled, Shag Rocks was briefly sampled in three summers, and Burdwood Bank was sampled in 1997. Most samples were using 8 m(2) and 1 m(2) nets in the upper 250 m and upper 3 m, respectively. Forty-three pelagic larval/early juvenile stages between 18.2 and 63 mm standard length (L-s) were taken between December and March. Four specimens were taken at Burdwood Bank, one at Shag Rocks, and 3 8 at South Georgia. Forty fish were from the upper 25 0 m and 23 from the upper 3 m. They occurred onshelf and offshore over water depths between 10 and 3000 in. Estimated growth rate, at South Georgia from 11 cohorts (including published data), is c. 1% L-s d(-1) (n = 39). From this and a hatch size of 15 mm L-s, the predicted hatching season is November to mid-December. From seven trawl surveys during summer at South Georgia and Shag Rocks between 1986 and 2000, the mean depth of the smaller demersal juveniles 13-25 cm. total length (L-T) was &lt; 140 m, indicating that early juveniles probably migrate inshore.</t>
  </si>
  <si>
    <t>awno@bas.ac.uk</t>
  </si>
  <si>
    <t>10.1017/S0954102002000548</t>
  </si>
  <si>
    <t>WOS:000174627000005</t>
  </si>
  <si>
    <t>Casaux, R; Baroni, A; Barrero-Oro, E</t>
  </si>
  <si>
    <t>Fish in the diet of the Antarctic shag at four colonies on the Danco Coast, Antarctic Peninsula</t>
  </si>
  <si>
    <t>Antarctica; blue-eyed shag; fish prey; Gobionotothen gibberifrons; Notothenia coriiceps; Phalacrocorax bransfieldensis</t>
  </si>
  <si>
    <t>BLUE-EYED SHAG; PHALACROCORAX-ATRICEPS-BRANSFIELDENSIS; NELSON ISLAND; SOUTH-GEORGIA; CORMORANTS</t>
  </si>
  <si>
    <t>The diet of breeding Antarctic shags (Phalacrocorax bransfieldensis) was investigated at four colonies on the Danco Coast, Antarctic Peninsula, by the analysis of 616 pellets (regurgitated casts) collected from December 1997 to February 1998. Overall, demersal-benthic fish were the most frequent and important prey at all the colonies, followed by octopods and gastropods. Amongst fish, Notothenia coriiceps was the main prey in all of the sampling sites, followed in similar importance by Gobionotothen gibberifrons at Cape Herschel, Primavera Island and Midas Island and in less importance by Harpagifer antarcticus at Py Point. There were marked differences among colonies in the size of the fish consumed. The largest and the smallest specimens were eaten by shags from Midas Island and Py Point respectively. This was mainly influenced by the number of specimens of the smallest fish species, H. antarcticus, consumed at Py Point, The differences in the diet composition maybe related to the different foraging areas used by the shags, Results from this study differ from previous studies around the Antarctic Peninsula. The shags at the Danco Coast preyed markedly more intensively than those at the South Shetland Islands on G. gibberifirons. This finding reflects the low abundance of this fish species in inshore waters (&lt; 100 m depth) at the South Shetland Islands and supports the use of the Antarctic shags to monitor trends in local populations of coastal fish species.</t>
  </si>
  <si>
    <t>Inst Antartico Argentino, Buenos Aires, DF, Argentina; Univ Buenos Aires, Fac Farm &amp; Bioquim, RA-1113 Buenos Aires, DF, Argentina; Museo Argentino Ciencias Nat Bernadino Rivadavia, Buenos Aires, DF, Argentina</t>
  </si>
  <si>
    <t>Instituto Antartico Argentino; University of Buenos Aires; Museo Argentino de Ciencias Naturales Bernardino Rivadavia (MACN)</t>
  </si>
  <si>
    <t>Casaux, R (corresponding author), Inst Antartico Argentino, Cerrito 1248,1010 AAZ, Buenos Aires, DF, Argentina.</t>
  </si>
  <si>
    <t>pipocasaux@infovia.com.ar</t>
  </si>
  <si>
    <t>10.1017/S095410200200055X</t>
  </si>
  <si>
    <t>WOS:000174627000006</t>
  </si>
  <si>
    <t>Fordyce, RE; Quilty, PG; Daniels, J</t>
  </si>
  <si>
    <t>Australodelphis mirus, a bizarre new toothless ziphild-like fossil dolphin (Cetacea: Delphinidae) from the Pliocene of Vestfold Hills, East Antarctica</t>
  </si>
  <si>
    <t>Antarctic; climate; dolphin; ecology; evolution</t>
  </si>
  <si>
    <t>FUNCTIONAL-MORPHOLOGY; MARINE-SEDIMENTS; ICE-SHEET; STRATIGRAPHY; EVOLUTION; COASTLINE; CLIMATE; WHALE; PERU</t>
  </si>
  <si>
    <t>Australodelphis mirus (Delphinidae n. gen., n. sp) is a small extinct Early Pliocene dolphin known from five individuals from shallow-water strata of the Sorsdal Formation, Vestfold Hills, East Antarctica. Australodelphis mirus is the first higher vertebrate named from the Oligocene-Pleistocene interval on land in Antarctica, and is the first cetacean fossil from the polar margin of circum-Antarctic Southern Ocean that postdates the break-up of Gondwana. The dolphin is convergent in skull form with some living beaked whales (Mesoplodon spp.; Family Ziphiidae) in its long, narrow and toothless upper jaw and face, but skull suture patterns, basicranial sinuses, and ear-bones indicate close relationship with living long-beaked dolphins (Delphinidae), Australodelphis mirus perhaps was a suction-feeding squid-cater which occupied quiet near-shore shelf waters influenced by glaciers but probably lacking major sea-ice. Possible ecological equivalents of A. mirus (small ziphiids, long-beaked dolphins) do not occupy Antarctic waters today, perhaps excluded by cold conditions and/or sea-ice cover. Earlier Pliocene cetaceans worldwide reveal significant extinct and sometimes bizarre taxa, and extant families with ranges quite different from today, pointing to climate-related changes in cetacean ecology in the last 2-3 million years.</t>
  </si>
  <si>
    <t>Univ Otago, Dept Geol, Dunedin, New Zealand; Antarctic Div, Kingston, Tas 7050, Australia</t>
  </si>
  <si>
    <t>University of Otago; Australian Antarctic Division</t>
  </si>
  <si>
    <t>Fordyce, RE (corresponding author), Univ Otago, Dept Geol, POB 56, Dunedin, New Zealand.</t>
  </si>
  <si>
    <t>Daniels, J. Michael/F-1117-2013</t>
  </si>
  <si>
    <t>Fordyce, Ewan/0000-0002-2656-730X; Daniels, J. Michael/0000-0002-1673-4231</t>
  </si>
  <si>
    <t>10.1017/S0954102002000561</t>
  </si>
  <si>
    <t>WOS:000174627000007</t>
  </si>
  <si>
    <t>Zhang, MJ; Li, ZQ; Xiao, CD; Qin, DH; Yang, HA; Kang, JC; Li, J</t>
  </si>
  <si>
    <t>A continuous 250-year record of volcanic activity from Princess Elizabeth Land, East Antarctica</t>
  </si>
  <si>
    <t>ice core; non-sea salt sulphate; Princess Elizabeth Land; volcanic activity</t>
  </si>
  <si>
    <t>EXPLOSIVE VOLCANISM; ERUPTION; CORE; STATION; CLIMATE</t>
  </si>
  <si>
    <t>A 51.85 in ice core collected from site LGB65 (accumulation rate 127 kg m(-2) a(-1), mean annual temperature -33.1degreesC) in Princess Elizabeth Land, East Antarctica, during the 1996-97 Chinese First Antarctic Inland Expedition has been analysed for chemical composition and oxygen isotope ratio. Based on the high definition of seasonal variations of major ions, the ice core was dated with errors within 3 years. The continuous sulphate analysis of the ice core provides an annually resolved proxy history of southern hemisphere volcanism in the past 250 years. High nssSO(4)(2-) concentrations seem to be well correlated to some explosive volcanic eruptions, such as Tambora (AD 1815), Coseguina (AD 1835), Krakatoa (AD 1883) and Tarawera (AD1886). In comparison with other volcanic records, it seems that nssSO(4)(2-) concentration data provide abetter proxy for detecting volcanic activity than nsSSO(4)(2-) fluxes in low and intermediate accumulation regions, however, in high accumulation regions, small and moderate events may be more identifiable using of nsSSO(4)(2-) flux data.</t>
  </si>
  <si>
    <t>Chinese Acad Sci, Cold &amp; Arid Reg Environm &amp; Engn Res Inst, State Key Lab Frozen Soil Engn, Lanzhou 730000, Peoples R China; Chinese Inst Polar Res, Shanghai 200129, Peoples R China; Antarctic Cooperat Res Ctr, Hobart, Tas 7001, Australia; Australian Antarctic Div, Hobart, Tas 7001, Australia</t>
  </si>
  <si>
    <t>Chinese Academy of Sciences; Cold &amp; Arid Regions Environmental &amp; Engineering Research Institute, CAS; Australian Antarctic Division</t>
  </si>
  <si>
    <t>Chinese Acad Sci, Cold &amp; Arid Reg Environm &amp; Engn Res Inst, State Key Lab Frozen Soil Engn, Lanzhou 730000, Peoples R China.</t>
  </si>
  <si>
    <t>10.1017/S0954102002000573</t>
  </si>
  <si>
    <t>WOS:000174627000008</t>
  </si>
  <si>
    <t>Rajaram, G; Arun, T; Dhar, A; Patil, AG</t>
  </si>
  <si>
    <t>Rapid decrease in total magnetic field F at Antarctic stations - its relationship to core-mantle features</t>
  </si>
  <si>
    <t>core-mantle boundary; reverse flux regions; secular variation; total magnetic field intensity</t>
  </si>
  <si>
    <t>GEOMAGNETIC-FIELD; SECULAR VARIATION; MORPHOLOGY; REVERSALS; BOUNDARY</t>
  </si>
  <si>
    <t>The Indian Institute of Geomagnetism (IIG) in 1982,1986, and 1996, operated a Proton Precession Magnetometer (PPM) at its Antarctic stations Dakshin Gangotri/Maitri (located at similar to70degreesS, similar to12degreesE). Comparison of the average quiet-time value of total intensity F for these years with values of F obtained at the same geographic location (interpolated from iso-intensity contours of F on World Magnetic Charts and IGRF Maps) for earlier years, suggested that over the last 75 years at this location, F has dropped from similar to49 000 nT in 1922, to similar to40 000 nT in 1996 Le, similar to120 nT per year. Further inspection at nearby Antarctic stations reveals a drop of similar to108 nT yr(-1) at Novolazarevskaya, similar to100 nT yr(-1). at Georg Forster and similar to95 nT yr(-1) at Syowa; Mawson situated still further away shows a drop of similar to72 nT yr(-1), while Dumont d'Urville located very near the magnetic pole showed a drop of similar to50 nT yr(-1) until 1994. A study of the observed F values over the past five decades at 23 observatories from the Antarctic and sub-Antarctic regions indicates that contours of yearly decrease in F follow a definite pattern, with maximum decrease lying in a belt encompassing Maitri. These observations are of importance in the light of modelling works at the Earth's Core-Mantle boundary pointing to two prominent regions of reverse magnetic flux (RMF) occurring beneath South America, South Africa and a large part of Antarctica, and which may merge sometime to cause reversal of the present geomagnetic field polarity. The importance of continuous monitoring of F at various locations in Antarctic and sub-Antarctic regions is brought out in this work. It is equally important to understand the cause behind this rapid decrease in F.</t>
  </si>
  <si>
    <t>Indian Inst Geomagnetism, Colaba 400005, Mumbai, India</t>
  </si>
  <si>
    <t>Department of Science &amp; Technology (India); Indian Institute of Geomagnetism (IIG)</t>
  </si>
  <si>
    <t>Indian Inst Geomagnetism, Colaba 400005, Mumbai, India.</t>
  </si>
  <si>
    <t>Patil, Arun/0000-0002-3809-3260</t>
  </si>
  <si>
    <t>10.1017/S0954102002000585</t>
  </si>
  <si>
    <t>WOS:000174627000009</t>
  </si>
  <si>
    <t>Stilwell, JD; Harwood, DM; Whitehead, JM</t>
  </si>
  <si>
    <t>Mid-Tertiary macroinvertebrate-rich clasts from the Battye Glacier Formation, Prince Charles Mountains, East Antarctica</t>
  </si>
  <si>
    <t>Miocene; Mollusca; palaeoenviromnents; palaeontology; Polychaeta</t>
  </si>
  <si>
    <t>SEDIMENTATION; STRATIGRAPHY; BIVALVIA</t>
  </si>
  <si>
    <t>Macrofossils discovered in the Battye Glacier Formation (Pagodroma Group) of the Prince Charles Mountains, East Antarctica, provide important insight into marine life of the inid-Tertiary, rarely preserved elsewhere on the continent. Recorded are five species of macroinvertebrates; these are Adamussium n. sp.? cf. colbecki (Smith, 1902) (Bivalvia), Laternula? sp. (Latemulidae), Mytilidae genus and species indeterminate (Bivalvia), Bivalvia genus and species indeterminate, and Polychaeta genus and species indeterminate. Based on stratigraphical data and faunal composition, the clasts are dated as no younger than Early Miocene. This is one of the oldest reports of Adamussium from Antarctica, previously known from the Late Pliocene to Recent with a possible record in the Late Oligocene-Early Miocene. Palacoecological data and facies analysis indicate that these taxa inhabited a shallow- to mid-shelf marine environment of normal salinity that was oligotrophic. The substrate was a soft, pebbly and sandy bottom that was sufficiently mobile to sponsor deep burrowing forms.</t>
  </si>
  <si>
    <t>James Cook Univ N Queensland, Sch Earth Sci, Townsville, Qld 4811, Australia; Univ Nebraska, Dept Geosci, Lincoln, NE 68588 USA; Antarctic CRC, Hobart, Tas 7000, Australia</t>
  </si>
  <si>
    <t>James Cook University; University of Nebraska System; University of Nebraska Lincoln</t>
  </si>
  <si>
    <t>Stilwell, JD (corresponding author), James Cook Univ N Queensland, Sch Earth Sci, Townsville, Qld 4811, Australia.</t>
  </si>
  <si>
    <t>Jeffrey.Stilwell@jcu.edu</t>
  </si>
  <si>
    <t>Stilwell, Jeffrey Darl/0000-0002-9853-1322</t>
  </si>
  <si>
    <t>10.1017/S0954102002000597</t>
  </si>
  <si>
    <t>WOS:000174627000010</t>
  </si>
  <si>
    <t>Bergamasco, A; Defendi, V; Meloni, R</t>
  </si>
  <si>
    <t>Some dynamics of water oufflow from beneath the Ross Ice Shelf during 1995 and 1996</t>
  </si>
  <si>
    <t>Ice Shelf Water; outflow estimate; outflow variability; Ross Ice Shelf; water recirculation</t>
  </si>
  <si>
    <t>CONTINENTAL-SHELF; SEA-ICE; CIRCULATION</t>
  </si>
  <si>
    <t>The paper presents two years of observations (1995 and 1996) for water velocity and temperature near the Ross Ice Shelf edge, where a mooring, composed of three current meters, five temperature and three conductivity sensors, one turbidimeter, two sediment traps and one Acoustic Doppler Current Profiler, was deployed. The mooring site was chosen to study the behaviour of the Ice Shelf Water, within the framework of the Project on the Climatic Long-term Interaction for the Mass balance in Antarctica of the Italian National Programme for Antarctic Research. The Ice Shelf Water outflow from below the Ross Ice Shelf is a persistent phenomenon in this area, but it is characterized by impulsive injections often associated with recirculation processes, Two years of data records of physical variables are investigated here in order to analyse the Ice Shelf Water outflow behaviour and to give an estimate of this feature. Our results show that the Ice Shelf Water events have variable duration (from one to seven days) and present an interannual variability in their timing. In spite of this, the mean Ice Shelf Water outflow during the overlapping period of the two time series is quite similar: 0.15 Sv for 1995 and 0.28 Sv for 1996.</t>
  </si>
  <si>
    <t>CNR, Inst Study Dynam Large Masses, I-30125 Venice, Italy; CNR, Inst Phys Oceanog, I-19036 Pozzuolo Di Lerici, La Spezia, Italy</t>
  </si>
  <si>
    <t>Consiglio Nazionale delle Ricerche (CNR); Consiglio Nazionale delle Ricerche (CNR)</t>
  </si>
  <si>
    <t>Defendi, V (corresponding author), CNR, Inst Study Dynam Large Masses, San Polo 1364, I-30125 Venice, Italy.</t>
  </si>
  <si>
    <t>Bergamasco, Alessandro/0000-0003-3138-8418</t>
  </si>
  <si>
    <t>10.1017/S0954102002000603</t>
  </si>
  <si>
    <t>WOS:000174627000011</t>
  </si>
  <si>
    <t>Buffoni, G; Cappelletti, A; Picco, P</t>
  </si>
  <si>
    <t>An investigation of thermohaline circulation in Terra Nova Bay polynya</t>
  </si>
  <si>
    <t>convective processes; dense water formation; numerical models; polynya; Ross Sea</t>
  </si>
  <si>
    <t>ROSS SEA; BEHAVIOR; DYNAMICS</t>
  </si>
  <si>
    <t>This paper addresses the study of the thermohaline circulation and convective processes induced by the presence of a coastal polynya in Terra Nova Bay (Ross Sea, Antarctica). These processes are analysed by means of oceanographic observations and numerical simulations. Time series of hydrological parameters and currents show the High Salinity Shelf Water (HSSW) formation, with the mixing of the water column down to great depths, and a seasonal cycle of kinetic energy. A two-dimensional time dependent model for the numerical simulation of the effects of polynya on the circulation has been implemented. This model allows estimation of the contribution of thermohaline forcing on the circulation pattern, the amount of ice production consistent with the observed salinity distribution and annual cycle of currents and the amount of HSSW exported. The thermohaline forcing due to the polynya is able to induce strong horizontal currents up to 40 cm s(-1) near the polynya area, as well as vertical movements of the order of 1 cm s(-1). An annual iceproduction, ranging from 45 m to 90 m, mixes the water column at great depths, up to 750 m, and increases the salinity of the surface incoming waters up to 34,82. The estimated net north-eastward transport of HSSW ranges from 0.34 Sv to 1.23 Sv, depending on ice production.</t>
  </si>
  <si>
    <t>ENEA Marine Environm Res Ctr, I-19100 La Spezia, Italy</t>
  </si>
  <si>
    <t>Italian National Agency New Technical Energy &amp; Sustainable Economics Development</t>
  </si>
  <si>
    <t>ENEA Marine Environm Res Ctr, CP 224, I-19100 La Spezia, Italy.</t>
  </si>
  <si>
    <t>10.1017/S0954102002000615</t>
  </si>
  <si>
    <t>WOS:000174627000012</t>
  </si>
  <si>
    <t>Neudegg, DA; Fraser, BJ; Menk, FW; Burns, GB; Morris, RJ; Underwood, MJ</t>
  </si>
  <si>
    <t>Magnetospheric sources of Pc1-2 ULF waves observed in the polar ionospheric waveguide</t>
  </si>
  <si>
    <t>Davis station; direction finding; magnetic reconnection; magnetosphere; ULF waves</t>
  </si>
  <si>
    <t>BOUNDARY-LAYER; HF RADAR; PARTICLE-PRECIPITATION; MAGNETIC PULSATIONS; DAYSIDE IONOSPHERE; HIGH-LATITUDES; AURORAL OVAL; CUSP; BURSTS; MAGNETOPAUSE</t>
  </si>
  <si>
    <t>Energy from the outer regions of the magnetosphere may be transferred to the polar ionosphere by plasma waves. A magnetometer array operated during the Antarctic winter observed Ultra-Low-Frequency (ULF) plasma waves in the Pc1-2 (0.1-10.0 Hz) frequency range, propagating parallel to the surface of the Earth in a waveguide or duct centred at similar to300 km altitude in the ionosphere. These compressional fast mode plasma waves most likely originated in the outer magnetosphere as shear mode plasma waves guided along the geomagnetic field. The region of origin in the magnetosphere for the waves is not certain as several widely spaced volumes map along geomagnetic field lines to a relatively close ensemble in the polar ionosphere. This paper compares the direction of propagation for the waves with signatures of magnetospheric regions geomagnetically projecting onto the ionosphere. Regions such as the polar cusp, low latitude boundary layer and mantle were observed by DMSP spacecraft and a SuperDARN high-frequency radar. The most likely region in the polar ionosphere for the fast mode waves to have originated from is equatorwards of the polar cusp, suggesting the field guided waves originated just inside the magnetopause. A case is made for association of the observed Pc1-2 ULF waves with post-noon, field-aligned-current systems driven by reconnection of the solar Interplanetary Magnetic Field (IMF) and the geomagnetic field near the magnetopause.</t>
  </si>
  <si>
    <t>Univ Leicester, Dept Phys &amp; Astron, Leicester LE1 7RH, Leics, England; Univ Newcastle, Dept Phys, Cooperat Res Ctr Satellite Syst, Newcastle, NSW 2308, Australia; Australian Antarctic Div, Kingston, Tas 7050, Australia; CSIRO, Div Marine Sci, Hobart, Tas 7000, Australia</t>
  </si>
  <si>
    <t>University of Leicester; University of Newcastle; Australian Antarctic Division; Commonwealth Scientific &amp; Industrial Research Organisation (CSIRO)</t>
  </si>
  <si>
    <t>Neudegg, DA (corresponding author), Rutherford Appleton Lab, Didcot OX11 0QX, Oxon, England.</t>
  </si>
  <si>
    <t>D.A.Neudegg@rl.ac.uk</t>
  </si>
  <si>
    <t>Menk, Frederick/A-2640-2009</t>
  </si>
  <si>
    <t>Menk, Frederick/0000-0002-1154-6223</t>
  </si>
  <si>
    <t>10.1017/S0954102002000627</t>
  </si>
  <si>
    <t>WOS:000174627000013</t>
  </si>
  <si>
    <t>Short, SM; Suttle, CA</t>
  </si>
  <si>
    <t>Sequence analysis of marine virus communities reveals that groups of related algal viruses are widely distributed in nature</t>
  </si>
  <si>
    <t>GRADIENT GEL-ELECTROPHORESIS; POLYMERASE-CHAIN-REACTION; DIVERSITY; POPULATIONS; FRAGMENTS; ABUNDANCE; AMPLIFICATION; COMPILATION; ALIGNMENT; BACTERIA</t>
  </si>
  <si>
    <t>Algal-virus-specific PCR primers were used to amplify DNA polymerase (pot) gene fragments from geographically isolated natural virus communities. Natural algal virus communities were obtained from coastal sites in the Pacific Ocean in British Columbia, Canada, and the Southern Ocean near the Antarctic peninsula. Genetic fingerprints of algal virus communities were generated using denaturing gradient gel electrophoresis (DGGE). Sequencing efforts recovered 33 sequences from the gradient gel. Of the 33 sequences examined, 25 encoded a conserved amino acid motif indicating that the sequences were pot gene fragments. Furthermore, the 25 pot sequences were related to pot gene fragments from known algal viruses. In addition, similar virus sequences (&gt;98% sequence identity) were recovered from British Columbia and Antarctica. Results from this study demonstrate that DGGE with degenerate primers can be used to qualitatively fingerprint and assess genetic diversity in specific subsets of natural virus communities and that closely related viruses occur in distant geographic locations. DGGE is a powerful tool for genetically fingerprinting natural virus communities and may be used to examine how specific components of virus communities respond to experimental manipulations.</t>
  </si>
  <si>
    <t>Univ British Columbia, Dept Earth &amp; Ocean Sci, Vancouver, BC V6T 1Z4, Canada; Univ British Columbia, Dept Microbiol &amp; Immunol, Vancouver, BC V6T 1Z4, Canada; Univ British Columbia, Dept Bot, Vancouver, BC V6T 1Z4, Canada</t>
  </si>
  <si>
    <t>University of British Columbia; University of British Columbia; University of British Columbia</t>
  </si>
  <si>
    <t>Univ British Columbia, Dept Earth &amp; Ocean Sci, 6270 Univ Blvd, Vancouver, BC V6T 1Z4, Canada.</t>
  </si>
  <si>
    <t>suttle@eos.ubc.ca</t>
  </si>
  <si>
    <t>Suttle, Curtis A/C-3150-2008; suttle, c/N-1144-2019; Short, Steven M/F-5578-2011</t>
  </si>
  <si>
    <t>Suttle, Curtis A/0000-0002-0372-0033; suttle, c/0000-0002-0372-0033; Short, Steven/0000-0002-6576-4883</t>
  </si>
  <si>
    <t>1098-5336</t>
  </si>
  <si>
    <t>10.1128/AEM.68.3.1290-1296.2002</t>
  </si>
  <si>
    <t>527UL</t>
  </si>
  <si>
    <t>WOS:000174206200035</t>
  </si>
  <si>
    <t>Hollibaugh, JT; Bano, N; Ducklow, HW</t>
  </si>
  <si>
    <t>Widespread distribution in polar oceans of a 16S rRNA gene sequence with affinity to Nitrosospira-like ammonia-oxidizing bacteria</t>
  </si>
  <si>
    <t>GRADIENT GEL-ELECTROPHORESIS; POLYMERASE CHAIN-REACTION; RIBOSOMAL-RNA GENE; CLASS PROTEOBACTERIA; BETA-SUBDIVISION; ARCTIC-OCEAN; SEA-ICE; AMPLIFICATION; POPULATIONS; DIVERSITY</t>
  </si>
  <si>
    <t>We analyzed the phylogenetic compositions of ammonia-oxidizing bacteria of the beta subclass of Proteobacteria from 42 Southern Ocean samples. We found a Nitrosospira-like 16S rRNA gene sequence in all 20 samples that yielded PCR products (8 of 30 samples from the Ross Sea and 12 of 12 samples from the Palmer Peninsula). We also found this sequence in Arctic Ocean samples, indicating a transpolar, if not global, distribution; however, slight differences between Arctic and Antarctic sequences may be evidence of polar endemism.</t>
  </si>
  <si>
    <t>Univ Georgia, Dept Marine Sci, Athens, GA 30602 USA; Virginia Inst Marine Sci, Coll William &amp; Mary, Gloucester Point, VA 23062 USA</t>
  </si>
  <si>
    <t>University System of Georgia; University of Georgia; William &amp; Mary; Virginia Institute of Marine Science</t>
  </si>
  <si>
    <t>Univ Georgia, Dept Marine Sci, Marine Sci Bldg,Rm 248,1030 Sanford Dr, Athens, GA 30602 USA.</t>
  </si>
  <si>
    <t>aquadoc@uga.edu</t>
  </si>
  <si>
    <t>10.1128/AEM.68.3.1478-1484.2002</t>
  </si>
  <si>
    <t>WOS:000174206200062</t>
  </si>
  <si>
    <t>Saenko, OA; Flato, M; Weaver, AJ</t>
  </si>
  <si>
    <t>Improved representation of sea-ice processes in climate models</t>
  </si>
  <si>
    <t>ATMOSPHERE-OCEAN</t>
  </si>
  <si>
    <t>GLOBAL OCEAN MODEL; GENERAL-CIRCULATION MODEL; ANTARCTIC INTERMEDIATE; THICKNESS DISTRIBUTION; THERMODYNAMIC MODEL; CHANGE SIMULATION; GREENHOUSE-GAS; ARCTIC-OCEAN; BOTTOM WATER; SENSITIVITY</t>
  </si>
  <si>
    <t>The apparent sensitivity of high latitudes to climate perturbations has spurred the development of global climate model components with improved parametrizations of sea-ice related processes. We focus on two of these. The first involves the ocean component in which we generalize a recently developed parametrization of brine rejection during sea-ice formation for use in a multi-category sea-ice model (i.e., one that resolves the thickness distribution function). The parametrization employs initial subsurface mixing of brine-enriched surface waters resulting from sea-ice growth. It is implemented in the University of Victoria coupled model, and numerical experiments are performed to highlight the physical processes and feedbacks involved. It is shown that a better representation of brine rejection improves the simulation of intermediate and deep ocean waters. Over the Arctic Ocean it also improves the simulation of the warm Atlantic Layer and sharpens the halocline. The second part of this paper focuses on the sea-ice component. We perform a series of stand-alone sea-ice model experiments comparing a recently developed multi-layer energy-conserving thermodynamic scheme with the simplified scheme used in many existing climate models. Experiments are done with and without the inclusion of dynamic processes (ice motion and deformation). Of particular interest is the impact of changes in the representation of dynamic and thermodynamic processes on the response of sea ice to climate perturbations. This is accomplished by comparing results obtained with present-day and future climate forcing, the latter obtained from the Canadian Centre for Climate Modelling and Analysis (CCCma) coupled climate model. We find that the more sophisticated thermodynamic scheme increases the sensitivity of ice volume, but decreases the sensitivity of ice area. As in previous studies, the introduction of ice dynamics tends to reduce sensitivity relative to a thermodynamic-only model.</t>
  </si>
  <si>
    <t>Univ Victoria, Sch Earth &amp; Ocean Sci, Victoria, BC V8W 3P6, Canada; Univ Victoria, Canadian Ctr Climate Modelling &amp; Anal, Meteorol Serv Canada, Victoria, BC, Canada</t>
  </si>
  <si>
    <t>University of Victoria; University of Victoria; Environment &amp; Climate Change Canada; Meteorological Service of Canada; Canadian Centre for Climate Modelling &amp; Analysis (CCCma)</t>
  </si>
  <si>
    <t>Saenko, OA (corresponding author), Univ Victoria, Sch Earth &amp; Ocean Sci, POB 3055, Victoria, BC V8W 3P6, Canada.</t>
  </si>
  <si>
    <t>Weaver, Andrew J/E-7590-2011</t>
  </si>
  <si>
    <t>Weaver, Andrew J/0000-0001-8919-3598</t>
  </si>
  <si>
    <t>CANADIAN METEOROLOGICAL OCEANOGRAPHIC SOC</t>
  </si>
  <si>
    <t>150 LOUIS PASTEUR PVT., STE 112, MCDONALD BUILDING, OTTAWA, ONTARIO K1N 6N5, CANADA</t>
  </si>
  <si>
    <t>0705-5900</t>
  </si>
  <si>
    <t>ATMOS OCEAN</t>
  </si>
  <si>
    <t>Atmos.-Ocean</t>
  </si>
  <si>
    <t>10.3137/ao.400102</t>
  </si>
  <si>
    <t>Meteorology &amp; Atmospheric Sciences; Oceanography</t>
  </si>
  <si>
    <t>530XU</t>
  </si>
  <si>
    <t>WOS:000174384900002</t>
  </si>
  <si>
    <t>Pistorius, PA; Bester, MN</t>
  </si>
  <si>
    <t>A longitudinal study of senescence in a pinniped</t>
  </si>
  <si>
    <t>SOUTHERN ELEPHANT SEALS; ANTARCTIC FUR SEALS; DECLINING POPULATION; NATURAL-POPULATIONS; MIROUNGA-LEONINA; MARKED ANIMALS; AGE; SURVIVAL; LIFE; SEX</t>
  </si>
  <si>
    <t>To measure the prevalence of senescence in southern elephant seals (Mirounga leonina Linn.) at Marion Island, changes in adult-female survival and breeding probabilities with age were quantified. Mark-recapture data that had been collected over a 17-year period were analysed using recently developed software to obtain likelihood estimates of survival and capture probabilities. With recapture effort constant over the study period, capture probabilities during the breeding seasons were used as indices of breeding probabilities. Longevity in the population was assessed from the resighting of tagged and hence known-age individuals. Less than a 1% difference between prime-age survival and post prime age survival was found over 8 cohorts of marked females. In addition, no reduction in survival of very old individuals was detected, suggesting the absence of senescence in terms of reduced survival in southern elephant seals. No evidence of reproductive senescence in terms of reduced breeding probability with age was detected. Mortality throughout the population therefore resulted in no individuals surviving to the age where physiological decline would become a mortality agent or result in failure to breed. Five percent of female southern elephant seals survived to age 10 and 0.5% to age 17.</t>
  </si>
  <si>
    <t>Bester, Marthán N/E-5387-2010</t>
  </si>
  <si>
    <t>Pistorius, Pierre/0000-0001-6561-7069</t>
  </si>
  <si>
    <t>10.1139/Z02-017</t>
  </si>
  <si>
    <t>541XG</t>
  </si>
  <si>
    <t>WOS:000175011400001</t>
  </si>
  <si>
    <t>Klán, P; Holoubek, I</t>
  </si>
  <si>
    <t>Ice (photo)chemistry.: Ice as a medium for long-term (photo)chemical transformations -: environmental implications</t>
  </si>
  <si>
    <t>ice; snow; photochemistry; UV radiation; PBTs; polar regions; accumulation; distribution; cloud particles; atmosphere; interstellar; paleochemistry</t>
  </si>
  <si>
    <t>POLYCYCLIC AROMATIC-HYDROCARBONS; PERSISTENT ORGANIC POLLUTANTS; ARCTIC BOUNDARY-LAYER; OZONE DEPLETION; ANTARCTIC SNOW; ULTRAVIOLET-IRRADIATION; POLYCRYSTALLINE ICE; COLD CONDENSATION; CHLORINE DIOXIDE; LIGHT-SCATTERING</t>
  </si>
  <si>
    <t>This review accounts for the current knowledge about the distribution, accumulation, and chemical/photochemical transformations of persistent, bioaccumulative, and toxic compounds (PBTs) in water ice, especially in the connection with polar regions and atmospheric cloud particles. (Photo)reactions on/in ice are discussed in terms of photochemistry, photobiology, paleochemistry, as well as astrophysics. Authors propose a model, in which a significant amount of some PBTs are generated by (photo)chemistry of primary pollutants in ice, which may subsequently be released to the environment. It is argued that ice photochemistry might play an important role in the chemical transformations in cold ecosystems and in the upper atmosphere, particularly now when the ozone layer is partially depleted. (C) 2002 Elsevier Science Ltd. All rights reserved.</t>
  </si>
  <si>
    <t>Masaryk Univ, Fac Sci, Dept Organ Chem, Brno 61137, Czech Republic; Masaryk Univ, Fac Sci, RECETOX, Brno 63700, Czech Republic</t>
  </si>
  <si>
    <t>Masaryk University Brno; Masaryk University Brno</t>
  </si>
  <si>
    <t>klan@sci.muni.cz; holoubek@chemi.muni.cz</t>
  </si>
  <si>
    <t>Klán, Petr/H-1189-2012; Klán, Petr/JCE-4586-2023</t>
  </si>
  <si>
    <t>Klán, Petr/0000-0001-6287-2742; Klán, Petr/0000-0001-6287-2742</t>
  </si>
  <si>
    <t>1879-1298</t>
  </si>
  <si>
    <t>PII S0045-6535(01)00285-5</t>
  </si>
  <si>
    <t>10.1016/S0045-6535(01)00285-5</t>
  </si>
  <si>
    <t>535ET</t>
  </si>
  <si>
    <t>WOS:000174632800008</t>
  </si>
  <si>
    <t>Vettery, W</t>
  </si>
  <si>
    <t>Environmental occurrence of Q1, a C9H3Cl7N2 compound, that has been identified as a natural bioaccumulative organochlorine</t>
  </si>
  <si>
    <t>20th Symposium on Halogenated Organic Pollutants and POPs - Dioxin 2000</t>
  </si>
  <si>
    <t>AUG 13-17, 2000</t>
  </si>
  <si>
    <t>MONTEREY, CA</t>
  </si>
  <si>
    <t>Q1; natural organohalogen compounds; bipyrrole; marine mammals</t>
  </si>
  <si>
    <t>BLUBBER; CONTAMINANT; TOXAPHENE; SEALS; EGGS</t>
  </si>
  <si>
    <t>Environmental appearance of Q1, a natural heptachloro compound with the molecular formula C9H3Cl7N2, was studied in samples from different sites all over the world. Q I was expected to have a bipyrrole backbone, similar to other compounds ascribed to natural sources. A method for isolation of Q1 was developed by combination of adsorption chromatography on silica and normal phase HPLC with an amino phase. UV-detection of Q1 supports the aromatic character of the compound. The high levels detected in samples of marine mammals and birds suggested that Q1 is both a persistent and a bioaccumulative contaminant. This was underscored by calculated log K-OW in the range of other lipophilic organo-halogens. In accordance with earlier studies, highest Q1 concentrations were found in the Southern Hemisphere, but with a highly selective GC/ECNI-MS-SIM method, detection of Q1 was also achieved in many samples from the Northern Hemisphere. In addition to marine mammals and birds, Q1 was also detected in fish from the Mediterranean Sea and the Antarctic. Traces were also detected in SRM 1588 certified cod liver oil, but Q1 was not detected in fish from Hong Kong and Lake Baikal. (C) 2002 Elsevier Science Ltd. All rights reserved.</t>
  </si>
  <si>
    <t>b5wave@rz.uni-jena.de</t>
  </si>
  <si>
    <t>9-10</t>
  </si>
  <si>
    <t>PII S0045-6535(01)00245-4</t>
  </si>
  <si>
    <t>10.1016/S0045-6535(01)00245-4</t>
  </si>
  <si>
    <t>542KN</t>
  </si>
  <si>
    <t>WOS:000175042800033</t>
  </si>
  <si>
    <t>Camardella, L; Di Fraia, R; Antignani, A; Ciardiello, MA; di Prisco, G; Coleman, JK; Buchon, L; Guespin, J; Russell, NJ</t>
  </si>
  <si>
    <t>The Antarctic Psychrobacter sp TAD1 has two cold-active glutamate dehydrogenases with different cofactor specificities.: Characterisation of the NAD+-dependent enzyme</t>
  </si>
  <si>
    <t>21st International Congress of the ESCPD</t>
  </si>
  <si>
    <t>JUL 24-28, 2000</t>
  </si>
  <si>
    <t>LIEGE, BELGIUM</t>
  </si>
  <si>
    <t>cofactor specificity; cold-active enzymes; glutamate dehydrogenase; thermal lability; Psychrobacter sp.; TAD1; psychro-tolerant bacterium; antarctica; oligomeric structure</t>
  </si>
  <si>
    <t>CHAENOCEPHALUS-ACERATUS; BACTERIUM; PROTEIN; PURIFICATION; ORGANISMS</t>
  </si>
  <si>
    <t>Psychrobacter sp. TAD1 is a psychrotolerant bacterium from Antarctic frozen continental water that grows from 2 to 25 degreesC with optimal growth rate at 20 degreesC. The new isolate contains two glutamate dehydrogenases (GDH), differing in their cofactor specificities, Subunit sizes and arrangements, and thermal properties. NADP(+)-dependent GDH is a hexamer of 47 kDa subunits and it is comparable to other hexameric GDHs of family-I from bacteria and lower eukaria. The NAD(+)-dependent enzyme, described in this communication, has a subunit weight of 160 kDa and belongs to the novel class of GDHs with large size subunits. The enzyme is a dimer; this oligomeric arrangement has not been reported previously for GDH. Both enzymes have an apparent optimum temperature for activity of approximately 20 degreesC, but their cold activities and thermal labilities are different. The NAD(+)-dependent enzyme is more cold active: at 10 degreesC it retains 50% of its maximal activity, compared with 10% for the NADP(+)-dependent enzyme. The NADP(+)-dependent enzyme is more beat stable, losing only 10% activity after heating for 30 min, compared with 95% for the NAD(+)-dependent enzyme. It is concluded that in Psychrobacter sp. TAD1 not only does NAD(+)-dependent GDH have a novel subunit molecular weight and arrangement, but that its polypeptide chains are folded differently from those of NADP(+)-dependent GDH, providing different cold-active properties to the two enzymes. (C) 2002 Elsevier Science Inc. AM rights reserved.</t>
  </si>
  <si>
    <t>CNR, Inst Prot Biochem &amp; Enzymol, I-80125 Naples, Italy; Univ London Wye Coll, Ashford TN25 5AH, Kent, England; Univ Rouen, Fac Sci, Lab Microbiol Froid, F-76821 Mont St Aignan, France</t>
  </si>
  <si>
    <t>Consiglio Nazionale delle Ricerche (CNR); Istituto di Biochimica delle Proteine (IBP-CNR); Imperial College London; Universite de Rouen Normandie</t>
  </si>
  <si>
    <t>CNR, Inst Prot Biochem &amp; Enzymol, Via Marconi 12, I-80125 Naples, Italy.</t>
  </si>
  <si>
    <t>ciardiel@dafne.ibpe.na.cnr.it</t>
  </si>
  <si>
    <t>Ciardiello, Maria Antonietta/AFB-6964-2022</t>
  </si>
  <si>
    <t>Ciardiello, Maria Antonietta/0000-0002-7203-0554</t>
  </si>
  <si>
    <t>PII S1095-6433(01)00507-4</t>
  </si>
  <si>
    <t>10.1016/S1095-6433(01)00507-4</t>
  </si>
  <si>
    <t>533AT</t>
  </si>
  <si>
    <t>WOS:000174507800009</t>
  </si>
  <si>
    <t>Holmes, JM; Whiteley, NM; Magnay, JL; El Haj, AJ</t>
  </si>
  <si>
    <t>Comparison of the variable loop regions of myosin heavy chain genes from Antarctic and temperate isopods</t>
  </si>
  <si>
    <t>Antarctic; Crustacean; isoform; muscle; myosin; gene; temperature</t>
  </si>
  <si>
    <t>SURFACE LOOPS; MUSCLE; ACTIN; SUBFRAGMENT-1; EXPRESSION; ISOFORMS; SEQUENCE; ADAPTATION; AFFINITY; CLONING</t>
  </si>
  <si>
    <t>The evolutionary adaptations of functional genes to life at low temperatures are not well characterised in marine and fresh water invertebrates. Temperature has been shown to affect the functional characteristics of fish muscles, with changes in the velocity of shortening and ATPase activity being associated with myosin heavy chain (MyHC) isoform composition and the structure of the surface loop regions. Two PCR products spanning loops 1 and 2 of a MyHC gene from an Antarctic isopod (Glyptonotus antarcticits) were sequenced and compared with those of a temperate isopod (Idotea resecata), slow and fast fibres from lobster (Homarus gammarus) and a cold water amphipod (Eulimnogammarus verrucosus), revealing specific differences between the species, possibly related to fibre type and habitat temperature. The loop 2 region from G. antarcticits myosin was cloned and used for Northern analysis of total RNA from the other species. The cloned myosin cDNA hybridised specifically to a 6.6-kb transcript, in G. antarcticus muscle. In contrast. cDNA probes for lobster slow myosin and actin hybridised to muscle RNA from all species, demonstrating that a distinct MyHC isoform is expressed in the Antarctic isopod, as opposed to the temperate species. The inter- and intra-specific sequence differences in loop 2 region suggest that this may be a site for muscle adaptation to enable function at the low temperatures found in the Southern Ocean. (C) 2002 Elsevier Science Inc. All rights reserved.</t>
  </si>
  <si>
    <t>Keele Univ, Postgrad Med Sch, Ctr Sci &amp; Technol, Stoke On Trent ST4 7QB, Staffs, England; Univ Wales, Sch Biol Sci, Bangor LL57 2UW, Gwynedd, Wales</t>
  </si>
  <si>
    <t>Keele University; Bangor University</t>
  </si>
  <si>
    <t>Keele Univ, Postgrad Med Sch, Ctr Sci &amp; Technol, Thornburrow Dr, Stoke On Trent ST4 7QB, Staffs, England.</t>
  </si>
  <si>
    <t>holmesjanet@hotmail.com</t>
  </si>
  <si>
    <t>Haj, Alicia J El/B-3315-2012</t>
  </si>
  <si>
    <t>PII S1096-4959(01)00509-7</t>
  </si>
  <si>
    <t>10.1016/S1096-4959(01)00509-7</t>
  </si>
  <si>
    <t>533NR</t>
  </si>
  <si>
    <t>WOS:000174537100006</t>
  </si>
  <si>
    <t>Boswell, SM; Smythe-Wright, D</t>
  </si>
  <si>
    <t>The tracer signature of Antarctic Bottom Water and its spread in the Southwest Indian Ocean: Part I - CFC-derived translation rate and topographic control around the Southwest Indian Ridge and the Conrad Rise</t>
  </si>
  <si>
    <t>tracers; deep-water masses; Antarctic Bottom Water; Southern Ocean; Southwest Indian Ocean</t>
  </si>
  <si>
    <t>WESTERN BOUNDARY CURRENT; NORTH-ATLANTIC; WEDDELL SEA; CIRCUMPOLAR CURRENT; FLOAT TRAJECTORIES; DEEP; CIRCULATION; BASIN; MASSES; CHLOROFLUOROCARBONS</t>
  </si>
  <si>
    <t>In this paper we use a temperature and salinity based mixing model to assess the dilution of Antarctic Bottom Water (AABW) as it moves away from the Weddell Sea and into the Southwest Indian Ocean. By combining these results with CFC tracer measurements we have been able to make direct estimates of the large-scale translation rates of AABW in this region. We confirm that there is a major northward flow of AABW via a gap in the Southwest Indian Ridge at 30degreesE, and thence across the Agulhas Basin into the Mozambique Basin, with a translation rate from the Greenwich Meridian of 0.8-1.0 cm s(-1) and a volume transport between the two basins of 1.5 x 10(6) m(3) s(-1). A second, smaller flow cuts the Del Cano Rise through the Prince Edward Fracture Zone but is indistinguishable from the general bottom waters once on the northern side of the rise. The third flow moves eastward along the southern flank of the Del Cano Rise to pass north of the Conrad Rise. This has bottom velocities of 0.7 cm s(-1) and a volume transport of 1.6 x 10(6) m(3) s(-1). This water is probably the source of the AABW-rich Circumpolar Deep Water that flows through the gap to the west of Crozet Island, and which is traceable again at stations on the northern flanks of the ridge. Flow between the Conrad Rise and the Del Cano Rise is complicated by the influence of a fourth flow, the AABW that passes south of the former and thence into the Crozet Basin via the Crozet-Kerguelen Gap. We suggest that a portion of this flow loops into the channel between the Del Cano Rise and the Conrad Rise, modifying the bottom waters at the easternmost stations within this channel. We will go on in Part 2 of this paper to use these results to estimate the dissolution rates of silica in the SWINDEX area. (C) 2002 Elsevier Science Ltd. All rights reserved.</t>
  </si>
  <si>
    <t>Southampton Oceanog Ctr, Southampton SO14 3ZH, Hants, England</t>
  </si>
  <si>
    <t>NERC National Oceanography Centre; University of Southampton</t>
  </si>
  <si>
    <t>Boswell, SM (corresponding author), Southampton Oceanog Ctr, Waterfront Campus, Southampton SO14 3ZH, Hants, England.</t>
  </si>
  <si>
    <t>PII S0967-0637(01)00066-8</t>
  </si>
  <si>
    <t>10.1016/S0967-0637(01)00066-8</t>
  </si>
  <si>
    <t>524YZ</t>
  </si>
  <si>
    <t>WOS:000174041600007</t>
  </si>
  <si>
    <t>Boswell, SM; Smythe-Wright, D; Holley, SE; Kirkwood, D</t>
  </si>
  <si>
    <t>The tracer signature of Antarctic Bottom Water and its spread in the Southwest Indian Ocean: Part II - Dissolution fluxes of dissolved silicate and their impact on its use as a chemical tracer</t>
  </si>
  <si>
    <t>tracers; silicon cycle; deep-water masses; biogeochemistry; Southern Ocean; Southwest Indian Ocean</t>
  </si>
  <si>
    <t>SOUTHERN-OCEAN; BIOGENIC SILICA; ORGANIC-CARBON; CONTINENTAL-SHELF; ROSS SEA; DEEP; SEDIMENTS; ATLANTIC; CYCLE; ACCUMULATION</t>
  </si>
  <si>
    <t>Using a combination of dissolved silicate, oxygen and a simple ternary mixing model we have been able to make comparisons of dissolved silicate and oxygen anomalies in the Southwest Indian Ocean and distinguish between remineralisation and diagenetic release as sources of Antarctic Bottom Water's (AABW) enhanced dissolved silicate concentrations. Combining theses data with transit times deduced from CFC measurements (see Part 1) we have gone on to make estimates of the diagenetic and remineralisation fluxes of silicate to the deep waters of the region. This provides a novel approach to the determination of such fluxes and as such our results should help to provide tighter constraints on future estimates of the global silicate balance. Results show that diagenetic release is generally between 75 and 780 mmol m(-2) yr(-1), in agreement with results from sediment core studies. Such a flux equates to a maximum silicate excess, over and above that expected from simple mixing of the deep water masses, of 22 mumol kg(-1) some 15% of the measured concentration. Silicate release from remineralisation is lower, with values &lt;316 mmol m(-2) yr(-1), generally equating to &lt;10% of the dissolved silicate concentration. The dissolved silicate anomalies broadly reflect the flow patterns of AABW as it moves away from the Enderby Basin, as discussed in Part 1, but the effect is masked by large localised variations. High total anomalies are observed in the region adjacent to the Conrad Rise (similar to 30 mumol kg(-1)) and these are possibly attributable to high productivity associated with the Polar Front. Other high spots include the deep flows north of the Conrad Rise, to the west of Crozet Island and in the Crozet-Kerguelen Gap (up to 31 mumol kg(-1)). This variability indicates caution is needed when using silicate as a quantitative tool in areas of high siliceous productivity and/or sedimentation. (C) 2002 Elsevier Science Ltd. All rights reserved.</t>
  </si>
  <si>
    <t>Southampton Oceanog Ctr, Southampton SO14 3ZH, Hants, England; MAFF, Fisheries Lab, Lowestoft NR33 0HT, Suffolk, England</t>
  </si>
  <si>
    <t>University of Southampton; NERC National Oceanography Centre</t>
  </si>
  <si>
    <t>Boswell, SM (corresponding author), Southampton Oceanog Ctr, Waterfront Campus,European Way, Southampton SO14 3ZH, Hants, England.</t>
  </si>
  <si>
    <t>PII S0967-0637(01)00067-X</t>
  </si>
  <si>
    <t>10.1016/S0967-0637(01)00067-X</t>
  </si>
  <si>
    <t>WOS:000174041600008</t>
  </si>
  <si>
    <t>Sleewaegen, S; Lorrain, R; Offer, Z; Azmon, E; Fitzsimons, S; Souchez, R</t>
  </si>
  <si>
    <t>Trapping of aeolian sediments and build-up of the ice cover of a dry-based Antarctic lake</t>
  </si>
  <si>
    <t>lake ice; aeolian sediments; stable isotopes; dry valleys; Antarctica</t>
  </si>
  <si>
    <t>ISOTOPIC COMPOSITION; HOARE; WATER</t>
  </si>
  <si>
    <t>Among the perennially frozen takes of the Dry Valleys of South Victoria Land (Antarctica), some are dry-based, i.e. frozen to the bottom. One of these is studied here by a multiparametric investigation (isotopic composition in deltaD and 3180, ions, gas and ice texture analyses). A sediment layer about 10 cm thick appearing at a depth of 3.5 m is also studied by grain size, X-ray diffraction and scanning electron microscope analyses. The information retrieved indicates that this ice-block lake results from a build-up in two steps and explains how aeolian sediments were included as a layer into the ice. Copyright (C) 2002 John Wiley Sons, Ltd.</t>
  </si>
  <si>
    <t>Free Univ Brussels, Dept Sci Terre, B-1050 Brussels, Belgium; Blaustein Inst Desert Res, Sede Boqer, Israel; Ben Gurion Univ Negev, Dept Geol &amp; Environm Sci, Beer Sheva, Israel; Univ Otago, Dept Geog, Dunedin, New Zealand</t>
  </si>
  <si>
    <t>Universite Libre de Bruxelles; Ben Gurion University; Ben Gurion University; University of Otago</t>
  </si>
  <si>
    <t>Free Univ Brussels, Dept Sci Terre, CP 160-03 Av F D Roosevelt 50, B-1050 Brussels, Belgium.</t>
  </si>
  <si>
    <t>ssleewae@ulb.ac.be</t>
  </si>
  <si>
    <t>Leong, EC/0000-0002-0941-0984</t>
  </si>
  <si>
    <t>10.1002/esp.320</t>
  </si>
  <si>
    <t>535MC</t>
  </si>
  <si>
    <t>WOS:000174647400006</t>
  </si>
  <si>
    <t>Mignogna, G; Chiaraluce, R; Consalvi, V; Cavallo, S; Stefanini, S; Chiancone, E</t>
  </si>
  <si>
    <t>Ferritin from the spleen of the Antarctic teleost Trematomus bernacchii is an M-type homopolymer</t>
  </si>
  <si>
    <t>amino-acid sequence; cold adaptation; iron incorporation; stability; Trematomus bernachii Antarctic fish ferritin</t>
  </si>
  <si>
    <t>H-CHAIN; STABILITY; PROTEINS; IDENTIFICATION; ADAPTATION; SUBUNITS; SEQUENCE; LIVER</t>
  </si>
  <si>
    <t>Ferritin from the spleen of the Antarctic teleost Trematomus bernacchii is composed of a single subunit that contains both the ferroxidase center residues, typical of mammalian H chains. and the carboxylate residues forming the micelle nucleation site. typical of mammalian L chains. Comparison of the amino-acid sequence with those available from lower vertebrates indicates that T. bernacchii ferritin can be classified as an M-type homopolymer. Interestingly, the T. bernacchii ferritin chain shows 85.7% identity with a cold-inducible ferritin chain of the rainbow trout Salmo gairdneri. The structural and functional properties indicate that cold acclimation and functional adaptation to low temperatures are achieved without significant modification of the protein stability. In fact, the stability of T. bernacchii ferritin to denaturation induced by acid or temperature closely resembles that of mesophilic mammalian ferritins. Moreover iron is taken up efficiently and the activation energy of the reaction is 74.9 kJ-mol(-1), a value slightly lower than that measured for the human recombinant H ferritin (80.8 kJ-mol(-1)).</t>
  </si>
  <si>
    <t>Univ Roma La Sapienza, Dept Biochem Sci, CNR, Ctr Mol Biol, I-00185 Rome, Italy; Univ Roma La Sapienza, Dept Biochem Sci A Rossi Fanelli, CNR, Ctr Mol Biol, I-00185 Rome, Italy</t>
  </si>
  <si>
    <t>Sapienza University Rome; Consiglio Nazionale delle Ricerche (CNR); Sapienza University Rome; Consiglio Nazionale delle Ricerche (CNR)</t>
  </si>
  <si>
    <t>Chiancone, E (corresponding author), Univ Roma La Sapienza, Dept Biochem Sci, CNR, Ctr Mol Biol, Ple A Moro 5, I-00185 Rome, Italy.</t>
  </si>
  <si>
    <t>Chiaraluce, Roberta/F-1920-2011; Stefanini, Simonetta/D-5083-2009; Mignogna, Giuseppina/A-2126-2010; consalvi, valerio/F-1918-2011</t>
  </si>
  <si>
    <t>Mignogna, Giuseppina/0000-0001-9238-132X</t>
  </si>
  <si>
    <t>10.1046/j.1432-1327.2002.02762.x</t>
  </si>
  <si>
    <t>534FX</t>
  </si>
  <si>
    <t>WOS:000174575200002</t>
  </si>
  <si>
    <t>Willan, RCR; Armstrong, DC</t>
  </si>
  <si>
    <t>Successive geothermal, volcanic-hydrothermal and contact-metasomatic events in Cenozoic volcanic-arc basalts, South Shetland Islands, Antarctica</t>
  </si>
  <si>
    <t>KING-GEORGE-ISLAND; CU-AU DEPOSITS; BARTON PENINSULA; ACID-SULFATE; TECTONIC EVOLUTION; ROCKS; MINERALIZATION; PORPHYRY; SYSTEM; MAGMATISM</t>
  </si>
  <si>
    <t>Hydrothermal alteration in volcanic arcs occurs in many settings and may involve magmatic, marine, lacustrine or groundwaters, driven by magmatic, tectonic or thermal events. King George Island, part of the South Shetland Island Cenozoic volcanic arc, contains an 80 km long zone of propylitized volcanic rocks, with numerous occurrences of quartz veining, silicic, sericitic, argillic and advanced-argillic alteration. On Barton Peninsula, a basaltic lava sequence (49-44 Ma) intruded by a small, high-level granodiorite pluton (similar to42 Ma), contains these alteration types, previously interpreted as a single porphyry-copper system. In this study, we report three, possibly four, distinct fossil hydrothermal episodes. (1) Banded chalcedonic quartz, quartz-sericite and propylitic alteration Occurs along ESE faults and as reworked clasts in nearby tuffs. Drusy quartz + calcite veins with silicic/sericitic, argillic and propylitic wallrocks may represent feeders to the near-surface silicification. These characteristics, and anomalous Ag + Pb + Sb + Au plus Te + Se + Zn + As, Suggest a neutral-pH geothermal system that was active during volcanism. (2) The lavas and banded-quartz rocks were brecciated, veined and replaced by alunite + native sulphur + pyrite, and pyrophyllite + quartz + pyrite + zunyite + diaspore assemblages with anomalous Hg + Se + As + Bi + Au + Tl + Sb + Cu. Such advanced-argillic alteration is diagnostic of degassing of a felsic magma into shallow (&lt; 500 m) meteoric groundwaters. Rhyolite tuffs, previously not reported on King George Island, may represent leakage of this magma to the surface. (3) Subsequent burial to similar to3 km was followed by emplacement of a granodiorite pluton and formation of a silicic contact-metasomatic aureole containing muscovite, biotite, actinolite, magnetite, K-feldspar and tourmaline. Disseminated andalusite + Corundum also formed in areas previously affected by the advanced-argillic alteration. Iron/copper-sulphide veinlets are locally abundant, but a porphyry-style geochemical signature is not present. Early Cretaceous Ar-Ar ages near the intrusive contact indicate flow of an excess Ar-bearing hydrothermal plume up the contact. Finally, isolated areas of propylitic alteration in the lavas nearby may be related either to quartz veins of episode I at depth or to (4) continued circulation of heated groundwaters around the cooling pluton.</t>
  </si>
  <si>
    <t>British Antarctic Survey, NERC, Geosic Div, Cambridge CB3 0ET, England</t>
  </si>
  <si>
    <t>British Antarctic Survey, NERC, Geosic Div, Madingley Rd, Cambridge CB3 0ET, England.</t>
  </si>
  <si>
    <t>r.willan@bas.ac.uk</t>
  </si>
  <si>
    <t>1469-5081</t>
  </si>
  <si>
    <t>10.1017/S0016756802006301</t>
  </si>
  <si>
    <t>580CT</t>
  </si>
  <si>
    <t>WOS:000177217600008</t>
  </si>
  <si>
    <t>Borisova, TD; Blagoveshchenskaya, NF; Gizler, VA; Ryabov, VV</t>
  </si>
  <si>
    <t>Studies of the high-latitude ionosphere with the Bizon ionosonde</t>
  </si>
  <si>
    <t>MODEL</t>
  </si>
  <si>
    <t>Large-scale structures of the subauroral and auroral ionosphere have been investigated using data of observations made with the digital ionosonde Bizon, operating in the mode of oblique backscattering (OBS) at sliding frequencies of 1-30 MHz. The measurements were made at the meridian of the Scandinavian magnetometer network during moderate geomagnetic and low solar activities. The results of simultaneous measurements of the Earth's magnetic field (the magnetometer network IMAGE), vertical sounding of the ionosphere, all-sky camera images at stations located in the zone of the ionosonde operation, as well as the interplanetary magnetic field data and AE indices have been invoked. The possibility have been shown to diagnose, using the digital ionosonde located near St. Petersburg, such inhomogeneous structures of the high-latitude ionosphere as the main ionospheric trough, the Muldrew's trough, and inhomogeneities both inside the auroral oval and, partially, in the polar cap region. The algorithm for determining the type of ionospheric irregularities from the OBS ionograms has been constructed. A possibility for locating discrete auroral arcs, sharp latitudinal gradients of electron density, and boundaries of corpuscular precipitations, as well as for monitoring their dynamics during the experiment, has been shown.</t>
  </si>
  <si>
    <t>Arctic &amp; Antarctic Res Inst, St Petersburg 199397, Russia</t>
  </si>
  <si>
    <t>Arctic &amp; Antarctic Research Institute</t>
  </si>
  <si>
    <t>borisova@aari.nw.ru</t>
  </si>
  <si>
    <t>Blagoveshchenskaya, Nataly F./S-4342-2017; Blagoveshchenskaya, Nataly/AAE-4093-2022; Borisova, Tatiana/AAK-7698-2020</t>
  </si>
  <si>
    <t>Blagoveshchenskaya, Nataly F./0000-0003-1752-3273; Blagoveshchenskaya, Nataly/0000-0003-1752-3273; Borisova, Tatiana/0000-0003-1727-5310</t>
  </si>
  <si>
    <t>1555-645X</t>
  </si>
  <si>
    <t>MAR-APR</t>
  </si>
  <si>
    <t>546YV</t>
  </si>
  <si>
    <t>WOS:000175305400012</t>
  </si>
  <si>
    <t>Whitworth, T</t>
  </si>
  <si>
    <t>Two modes of bottom water in the Australian-Antarctic Basin</t>
  </si>
  <si>
    <t>WILKES-LAND; MASSES</t>
  </si>
  <si>
    <t>[1] Recent data from the deep Australian-Antarctic Basin show that waters colder than about -0.4degreesC are fresher by as much as 0.02 than data collected prior to 1994. It is possible that the freshening represents a fundamental change in the sources of bottom water for the basin, but it is more likely that the fresh mode recurs periodically and is underrepresented in the historical database. The freshening may be caused by a change in fresh bottom water input from the Antarctic coast between 120degreesE 160 degreesE or by a reduction in the outflow of saline Ross Sea Bottom Water.</t>
  </si>
  <si>
    <t>Texas A&amp;M Univ, Dept Oceanog, College Stn, TX 77843 USA</t>
  </si>
  <si>
    <t>Texas A&amp;M University System; Texas A&amp;M University College Station</t>
  </si>
  <si>
    <t>Texas A&amp;M Univ, Dept Oceanog, College Stn, TX 77843 USA.</t>
  </si>
  <si>
    <t>twhitworth@tamu.edu</t>
  </si>
  <si>
    <t>MAR 1</t>
  </si>
  <si>
    <t>10.1029/2001GL014282</t>
  </si>
  <si>
    <t>609DC</t>
  </si>
  <si>
    <t>WOS:000178886500004</t>
  </si>
  <si>
    <t>Majoran, S; Dingle, RV</t>
  </si>
  <si>
    <t>Faunal changes in Cenozoic deep-sea ostracod assemblages from the South Atlantic and the Southern Ocean and their palaeoceanographical implications</t>
  </si>
  <si>
    <t>GFF</t>
  </si>
  <si>
    <t>Cenozoic; ostracods; deep-sea; South Atlantic; Southern Ocean; palaeoceanography</t>
  </si>
  <si>
    <t>CIRCULATION; PLIOCENE</t>
  </si>
  <si>
    <t>The Cenozoic palaeoceanographical history of the South Atlantic and the Southern Ocean is summarised on the basis of changes in the ostracod faunas of DSDP/ODP Sites 329, 513, 689, 699, 1087 and 1088. The results are mainly compared with the global palacoceanographical history of Benson. The present study failed to find strong evidence for a sudden psychrospheric event (Sites 689 and 699) in the ate Eocene, but there is, however, a decrease in abundance and diversity of ostracods from the mid-/late Eocene to the Oligocene at Sites 689 699. This suggests a more gradual palaeoceanographical change over a relatively long time interval. Mid-Miocene faunal changes occur at Site 1087 and coincide with the 16-14 Ma event of Benson. However, the faunal changes are, in contrast to Benson, here marked by a decline in abundance, diversity and faunal turnover. The local differences in faunal changes in mid-Miocene deep-sea ostracod faunas may be related to the initiation of NADW and/or a major expansion of the Antarctic ice sheet. We found little or no evidence for the 6.3-4.9 Ma event, which Benson recorded and related to the effects of a series of events such as the Messinian Salinity Crisis and increased glaciation on Antarctica. Similar to Benson's global data, we have also found a major faunal turnover at Sites 1087 and 1088 at 3.5 Ma. This is possibly related to the effects of a closure of the Straits of Panama, increased production of NADW, AAIW and AABW, and/or a major deglaciation of the Antarctica in the mid-Pliocene.</t>
  </si>
  <si>
    <t>Univ Copenhagen, Inst Geol, DK-1350 Copenhagen K, Denmark</t>
  </si>
  <si>
    <t>University of Copenhagen</t>
  </si>
  <si>
    <t>Majoran, S (corresponding author), Hyggesv 4, SE-43348 Partille, Sweden.</t>
  </si>
  <si>
    <t>stefan.majoran@swipnet.se; richardd@geo.geol.ku.dk</t>
  </si>
  <si>
    <t>1103-5897</t>
  </si>
  <si>
    <t>2000-0863</t>
  </si>
  <si>
    <t>10.1080/11035890201241019</t>
  </si>
  <si>
    <t>Geology; Paleontology</t>
  </si>
  <si>
    <t>551LK</t>
  </si>
  <si>
    <t>WOS:000175563000003</t>
  </si>
  <si>
    <t>Flückiger, J; Monnin, E; Stauffer, B; Schwander, J; Stocker, TF; Chappellaz, J; Raynaud, D; Barnola, JM</t>
  </si>
  <si>
    <t>High-resolution Holocene N2O ice core record and its relationship with CH4 and CO2 -: art. no. 1010</t>
  </si>
  <si>
    <t>GLOBAL BIOGEOCHEMICAL CYCLES</t>
  </si>
  <si>
    <t>N2O; CH4; CO2; nitrous oxide; greenhouse gases; Holocene</t>
  </si>
  <si>
    <t>ATMOSPHERIC NITROUS-OXIDE; GREENLAND ICE; ARABIAN SEA; ANTARCTIC ICE; NORTH PACIFIC; TAYLOR DOME; CLIMATE; EMISSIONS; SOILS; OCEAN</t>
  </si>
  <si>
    <t>[1] Nitrous oxide (N2O) concentration records exist for the last 1000 years and for time periods of rapid climatic changes like the transition from the last glacial to today's interglacial and for one of the fast climate variations during the last ice age. Little is known, however, about possible N2O variations during the more stable climate of the present interglacial (Holocene) spanning the last 11 thousand years. Here we fill this gap with a high-resolution N2O record measured along the European Project for Ice Coring in Antarctica (EPICA) Dome C Antarctic ice core. On the same ice we obtained high-resolution methane and carbon dioxide records. This provides the unique opportunity to compare variations of the three most important greenhouse gases (after water vapor) without any uncertainty in their relative timing. The CO2 and CH4 records are in good agreement with previous measurements on other ice cores. The N2O concentration started to decrease in the early Holocene and reached minimum values around 8 ka (&lt;260 ppbv) before a slow increase to its preindustrial concentration of similar to 265 ppbv.</t>
  </si>
  <si>
    <t>Univ Bern, Inst Phys, CH-3012 Bern, Switzerland; CNRS, Lab Glaciol &amp; Geophys Environm, F-38402 St Martin Dheres, France</t>
  </si>
  <si>
    <t>University of Bern; Centre National de la Recherche Scientifique (CNRS)</t>
  </si>
  <si>
    <t>Flückiger, J (corresponding author), Univ Bern, Inst Phys, Sidlerstr 5, CH-3012 Bern, Switzerland.</t>
  </si>
  <si>
    <t>flueckiger@climate.unibe.ch</t>
  </si>
  <si>
    <t>raynaud, dominique/ABG-4718-2020; Fluckiger, Jacqueline/G-3457-2011; Chappellaz, Jérôme A./A-4872-2011; Raynaud, Dominique/H-9626-2016; Stocker, Thomas F/B-1273-2013</t>
  </si>
  <si>
    <t>0886-6236</t>
  </si>
  <si>
    <t>GLOBAL BIOGEOCHEM CY</t>
  </si>
  <si>
    <t>Glob. Biogeochem. Cycle</t>
  </si>
  <si>
    <t>10.1029/2001GB001417</t>
  </si>
  <si>
    <t>Environmental Sciences; Geosciences, Multidisciplinary; Meteorology &amp; Atmospheric Sciences</t>
  </si>
  <si>
    <t>Environmental Sciences &amp; Ecology; Geology; Meteorology &amp; Atmospheric Sciences</t>
  </si>
  <si>
    <t>609AQ</t>
  </si>
  <si>
    <t>WOS:000178880800015</t>
  </si>
  <si>
    <t>Cockell, CS</t>
  </si>
  <si>
    <t>Mars is an awful place to live</t>
  </si>
  <si>
    <t>INTERDISCIPLINARY SCIENCE REVIEWS</t>
  </si>
  <si>
    <t>Some believe that the planet Mars holds promise as a new home for humankind and that it could become the focus of a large scale colonisation effort at some undefined point in the future. In this paper I support the assertion that Mars holds promise as a site for human scientific, and possibly commercial, exploration, but I question the idea that Mars will be colonised in a manner akin to the New World. The surface of Mars is physically extreme. Mean annual temperature is -60 C, the ultraviolet radiation flux is a thousand times more damaging to DNA than that found on the surface of the earth, and there is little or no liquid surface water. The atmosphere is unbreathable and the soil may be toxic. Although Mars is less awful than the most awful places in the solar system (such as the radiation bombarded surfaces of the Jovian moons), it is considerably more awful than the most extreme places on earth, such as the continental interior of Antarctica and the High Arctic. I suggest that the polar model of human settlement is the most accurate from which to extrapolate the future of human Mars exploration, but even this model is optimistic. Using the most hopeful assessments of colonisation prospects, the human population of Mars would be a maximum of about three million people, and would most probably be substantially less. Understanding the most likely social trajectory of human Mars exploration is not only sociologically interesting, but it is practically, important for determining how Mars exploration programmes should be presented to the public.</t>
  </si>
  <si>
    <t>Cockell, CS (corresponding author), British Antarctic Survey, Madingley Rd, Cambridge CB3 0ET, England.</t>
  </si>
  <si>
    <t>NERC [bas010008] Funding Source: UKRI; Natural Environment Research Council [bas010008] Funding Source: researchfish</t>
  </si>
  <si>
    <t>NERC(UK Research &amp; Innovation (UKRI)Natural Environment Research Council (NERC)); Natural Environment Research Council(UK Research &amp; Innovation (UKRI)Natural Environment Research Council (NERC))</t>
  </si>
  <si>
    <t>MANEY PUBLISHING</t>
  </si>
  <si>
    <t>LEEDS</t>
  </si>
  <si>
    <t>HUDSON RD, LEEDS LS9 7DL, ENGLAND</t>
  </si>
  <si>
    <t>0308-0188</t>
  </si>
  <si>
    <t>INTERDISCIPL SCI REV</t>
  </si>
  <si>
    <t>Interdiscip. Sci. Rev.</t>
  </si>
  <si>
    <t>SPR</t>
  </si>
  <si>
    <t>10.1179/030801802225002881</t>
  </si>
  <si>
    <t>Multidisciplinary Sciences; Social Sciences, Interdisciplinary</t>
  </si>
  <si>
    <t>Science Citation Index Expanded (SCI-EXPANDED); Social Science Citation Index (SSCI)</t>
  </si>
  <si>
    <t>Science &amp; Technology - Other Topics; Social Sciences - Other Topics</t>
  </si>
  <si>
    <t>550JU</t>
  </si>
  <si>
    <t>WOS:000175500500006</t>
  </si>
  <si>
    <t>Radionov, VF; Lamakin, MV; Herber, A</t>
  </si>
  <si>
    <t>Changes in the aerosol optical depth of the Antarctic atmosphere</t>
  </si>
  <si>
    <t>IZVESTIYA ATMOSPHERIC AND OCEANIC PHYSICS</t>
  </si>
  <si>
    <t>SOLAR-RADIATION; POLAR-REGIONS</t>
  </si>
  <si>
    <t>The paper presents the results of generalization and analysis of the data on the monthly average values of the aerosol optical depth for the wavelength equal to 0.5 mum that have been obtained over the past two decades at the Mirnyi station in Antarctica. The monthly average values of this parameter are calculated from the archival data on the daily average values of the spectral aerosol optical depth, by sun photometers with sets of narrow-band interference filters. The measurements were taken within the spectral band between 0.4 and 1 mum or close to it. Any request for the description of the archives indicated and also for their data can be granted to interested specialists at the following address: vradion@aari.nw.ru. The results of long-term regular measurements of the aerosol turbidity parameters with a set of glass bandpass filters are also used in the analysis. The character of longterm, interannual, and seasonal variations in the aerosol attenuation of solar radiation in the Antarctic atmosphere is described.</t>
  </si>
  <si>
    <t>Radionov, VF (corresponding author), Arctic &amp; Antarctic Res Inst, Ul Beringa 38, St Petersburg 199397, Russia.</t>
  </si>
  <si>
    <t>Radionov, Vladimir F./O-3038-2017</t>
  </si>
  <si>
    <t>0001-4338</t>
  </si>
  <si>
    <t>IZV ATMOS OCEAN PHY+</t>
  </si>
  <si>
    <t>Izv. Atmos. Ocean. Phys.</t>
  </si>
  <si>
    <t>547EJ</t>
  </si>
  <si>
    <t>WOS:000175319800007</t>
  </si>
  <si>
    <t>Thadathil, P; Saran, AK; Gopalakrishna, VV; Vethamony, P; Araligidad, N; Bailey, R</t>
  </si>
  <si>
    <t>XBT fall rate in waters of extreme temperature: A case study in the Antarctic Ocean</t>
  </si>
  <si>
    <t>JOURNAL OF ATMOSPHERIC AND OCEANIC TECHNOLOGY</t>
  </si>
  <si>
    <t>XBT fall-rate variation in waters of extreme temperature and the resulting depth error has been addressed using controlled XBT-CTD datasets collected from two cruises in the Southern Ocean. Mean depth errors deduced from both the datasets are significantly different from those reported earlier for tropical and subtropical regions. The comprehensive study of Hanawa et al. (making use of controlled XBT-CTD data, mostly from tropical and subtropical waters) showed that the manufacturer's equation underestimates the probe's fall rate. This is manifested by the mean negative depth error reported from this region. However, results from the present study show that the manufacturer's equation slightly overestimates the fall rate in this region, as indicated by the small positive error (5-10 m). In order to provide theoretical support to the observed depth error, an analytical approach is adopted based on the viscosity effect on the probe's fall rate. Observed as well as analytical results suggest that the probe has a decelerating tendency due to the viscosity effect in high-latitude waters, and the existing correction scheme is not appropriate for XBT data from regions of such extreme low temperature. The existing correction scheme is valid for tropical and subtropical waters of negative depth error zones. However, for XBT data from high-latitude waters it is reasonable not to correct XBT data based on the existing scheme until the exact nature of depth error from this region is known. Though the mean depth errors from both the datasets show nearly identical values, it is necessary to conduct more controlled XBT-CTD experiments in this region in order to substantiate the exact nature of error for this region and then develop an appropriate depth-correction scheme.</t>
  </si>
  <si>
    <t>Natl Inst Oceanog, HO Dona Paula 403004, Goa, India; CSIRO, Hobart, Tas, Australia</t>
  </si>
  <si>
    <t>Council of Scientific &amp; Industrial Research (CSIR) - India; CSIR - National Institute of Oceanography (NIO); Commonwealth Scientific &amp; Industrial Research Organisation (CSIRO)</t>
  </si>
  <si>
    <t>Natl Inst Oceanog, HO Dona Paula 403004, Goa, India.</t>
  </si>
  <si>
    <t>pankaj@darya.nio.org</t>
  </si>
  <si>
    <t>Ponnumony, Vethamony/0000-0002-2747-7568</t>
  </si>
  <si>
    <t>0739-0572</t>
  </si>
  <si>
    <t>1520-0426</t>
  </si>
  <si>
    <t>J ATMOS OCEAN TECH</t>
  </si>
  <si>
    <t>J. Atmos. Ocean. Technol.</t>
  </si>
  <si>
    <t>10.1175/1520-0426-19.3.391</t>
  </si>
  <si>
    <t>Engineering, Ocean; Meteorology &amp; Atmospheric Sciences</t>
  </si>
  <si>
    <t>Engineering; Meteorology &amp; Atmospheric Sciences</t>
  </si>
  <si>
    <t>524NK</t>
  </si>
  <si>
    <t>WOS:000174019600009</t>
  </si>
  <si>
    <t>Troshichev, OA; Lukianova, RY</t>
  </si>
  <si>
    <t>Relation of PC index to the solar wind parameters and substorm activity in time of magnetic storms</t>
  </si>
  <si>
    <t>Conference on Space Storms and Space Weather Hazards</t>
  </si>
  <si>
    <t>JUN 19-29, 2000</t>
  </si>
  <si>
    <t>HERSONISSOS, GREECE</t>
  </si>
  <si>
    <t>solar wind parameters; geomagnetic storms and substorms; indices of magnetic activity; nowcasting</t>
  </si>
  <si>
    <t>POLAR-CAP INDEX; INTERPLANETARY QUANTITIES; AE</t>
  </si>
  <si>
    <t>The PC index has been put forward with the general aim of funding a key parameter that (1) would estimate the current state of the Earth's magnetic field, and (2) would be readily calculated from routine ground-based measurements at all time. The concept of convection in the near-pole region controlled by the solar wind parameters provides the basis of the method of calculation of the index. The PC index has been derived as a dimensionless quantity parametrized by season, UT, and hemisphere, and calibrated for interplanetary electric field, merging with the magnetosphere. The results of former statistical analyses suggest that the PC index is useful in nowcasting the intensity of the auroral substorms. Twelve strong magnetic disturbances occurring in 2000 have been analyzed to verify this affirmation under specific conditions. Our results show that the PC index, being a measure of the solar wind electric field merging with the magnetosphere, basically follows, with a time delay of about 50 min, variations of the interplanetary electric field observed in the point of libration. Distinctions in details between these quantities, typical of examined events, indicate that characteristics of the solar wind can change on the way from the point L1 to the Earth. Sharp increase of PC index indicates conclusively that auroral substorm will be developed in a matter of minutes. Correlation between the PC and AE indices tamed out to be much higher in the absence of D-st variation than in the course of magnetic storm. This regularity suggests that magnetosphere responds in different ways to the same changes in the solar wind parameters, and, therefore, the preceding state of the magnetosphere would be taken into account to foresee its reaction to the solar wind influence. (C) 2002 Published by Elsevier Science Ltd.</t>
  </si>
  <si>
    <t>Arctic &amp; Antarctic Res Inst, St Petersburg 199226, Russia</t>
  </si>
  <si>
    <t>Troshichev, OA (corresponding author), Arctic &amp; Antarctic Res Inst, St Petersburg 199226, Russia.</t>
  </si>
  <si>
    <t>Lukianova, Renata/K-3293-2012</t>
  </si>
  <si>
    <t>Lukianova, Renata/0000-0003-2343-9174</t>
  </si>
  <si>
    <t>PII S1364-6826(02)00016-0</t>
  </si>
  <si>
    <t>10.1016/S1364-6826(02)00016-0</t>
  </si>
  <si>
    <t>568MZ</t>
  </si>
  <si>
    <t>WOS:000176547200015</t>
  </si>
  <si>
    <t>Iyudin, AF</t>
  </si>
  <si>
    <t>Terrestrial impact of the galactic historical SNe</t>
  </si>
  <si>
    <t>historical SNe tracers; ionic; molecular and isotope depositions; yearly temperature; climate forcing; aurorae</t>
  </si>
  <si>
    <t>ENHANCED BE-10 DEPOSITION; AURORAL RED ARCS; II SUPER-NOVAE; COSMIC-RAYS; CLIMATE RELATIONSHIPS; NUCLEAR-EXPLOSIONS; SOLAR VARIABILITY; MAUNDER MINIMUM; ANTARCTIC ICE; OZONE</t>
  </si>
  <si>
    <t>Galactic supemovae (SNe) of the last millennium have left their signatures in many energy domains, with the optical being the best known due to the absence of astronomical instruments before the 17th century being more sophisticated than the human eye. Alongside with these records found in the scriptes of the ancient eastern and western astronomers, quite recently other signatures were recognised as valuable tracers of historical SNe, for example, different ionic and/or molecular depositions in the polar ice, radioactive isotopes depositions, and the gamma-ray emission from the radioactive Ti-44 produced in the SN explosion. While the ice depositions are expected to be the result of the supernova flash in the UV and soft X-rays, the Fe-60 radioactive isotope deposition into the deep-ocean ferromanganese crust is the result of direct isotope transfer by cosmic rays dust grains originating in the SN blast wave. These and other impacts of the galactic SNe are important from the point of view of their possible influence on the terrestrial environment. In this paper we consider known tracers of historical SNe and compare them to the proposed new tracer based on the atmospheric response to the galactic supernova emission in the UV and X-rays. In addition to using the Ti-44 radioactive decay line photons for uncovering hidden galactic supernova remnants by imaging gamma-ray telescopes, all such tracers form an important complement to the historical SNe record. (C) 2002 Elsevier Science Ltd. All rights reserved.</t>
  </si>
  <si>
    <t>Max Planck Inst Extraterr Phys, D-85741 Garching, Germany</t>
  </si>
  <si>
    <t>Iyudin, AF (corresponding author), Max Planck Inst Extraterr Phys, Postfach 1312, D-85741 Garching, Germany.</t>
  </si>
  <si>
    <t>Iyudin, Anatoly/D-7349-2014</t>
  </si>
  <si>
    <t>PII S1364-6826(02)00028-7</t>
  </si>
  <si>
    <t>10.1016/S1364-6826(02)00028-7</t>
  </si>
  <si>
    <t>WOS:000176547200027</t>
  </si>
  <si>
    <t>Egginton, S; Skilbeck, C; Hoofd, L; Calvo, J; Johnston, IA</t>
  </si>
  <si>
    <t>Peripheral oxygen transport in skeletal muscle of Antarctic and sub-Antarctic notothenioid fish</t>
  </si>
  <si>
    <t>JOURNAL OF EXPERIMENTAL BIOLOGY</t>
  </si>
  <si>
    <t>diffusion; icefish; mathematical model; oxygen tension; stereology; notothenioid fish</t>
  </si>
  <si>
    <t>CHAENOCEPHALUS-ACERATUS; TEMPERATURE; MITOCHONDRIA; ACCLIMATION; STEREOLOGY; ADAPTATION; NEGLECTA; TELEOST; FIBERS</t>
  </si>
  <si>
    <t>Transcellular oxygen flux was modelled mathematically in the aerobic skeletal muscles of perciform fish species living at widely different temperatures (Antarctica, sub-Antarctica and the Mediterranean Sea). Using structural data derived from stereological analysis of electron micrographs, mean fibre Po-2 was calculated on the basis of temperature-corrected rates of mitochondrial respiration and oxygen diffusion. The mean muscle fibre diameter (MFD) among Antarctic notothenioids was in the range 17-61 mum and mitochondrial volume density, Vv(mit,f), was 0.27-0.53, but capillary-to-fibre ratio varied only between 1.2 and 1.5. For a mean capillary Po-2 of 6 kPa, the model predicted a mean tissue Po-2 in the range 0.7-5.8 kPa at the estimated maximum aerobic capacity (Mo-2max). The lowest levels of tissue oxygenation were found in the pectoral muscle fibres of the icefish Chaenocephalus aceratus, which lacks the respiratory pigments haemoglobin and myoglobin. Red-blooded notothenioids found in the sub-Antarctic had a similar muscle fine structure to those caught south of the Antarctic Convergence, with an MFD of 20-41 mum and Vv(mit,f) of 0.27-0.33, resulting in an estimated mean Po-2 of 4-5 kPa at Mo-2max. Mean tissue Po-2 in the sub-Antarctic icefish Champsocephalus esox, with greater MFD and Vv(mit,f), 56 mum and 0.51, respectively, was calculated to exceed 1 kPa at winter temperatures (4 C), although oxidative metabolism was predicted to be impaired at the summer maximum of 10 degreesC. At the high end of the thermal range, related perciform species from the Mediterranean had a negligible drop in intracellular Po-2 across their small-diameter fibres, to a minimum of 5.4 kPa, comparable with that predicted for Trematomus newnesi from the Antarctic (5.6 kPa) with a similar MFD. These data suggest that, within a single phylogenetic group, integrative structural adaptations potentially enable a similar degree of tissue oxygenation over a 20 degreesC range of environmental temperature in the red-blooded notothenioids, and that this is compromised by the lack of respiratory pigments in the icefishes. The mean capillary radius was 1.5 times greater in the two icefish than in the other notothenioids, and the model simulations indicate that the evolution of wide-bore capillaries is essential to maintain tissue oxygenation in the absence of respiratory pigments.</t>
  </si>
  <si>
    <t>Univ Birmingham, Dept Physiol, Birmingham B15 2TT, W Midlands, England; Univ Nijmegen, Dept Physiol, NL-6525 Nijmegen, Netherlands; Consejo Nacl Invest Cient &amp; Tecn, CADIC, Ushuaia, Argentina; Univ St Andrews, Gatty Marine Lab, Sch Biol, St Andrews KY16 8LB, Fife, Scotland</t>
  </si>
  <si>
    <t>University of Birmingham; Radboud University Nijmegen; Consejo Nacional de Investigaciones Cientificas y Tecnicas (CONICET); University of St Andrews</t>
  </si>
  <si>
    <t>Egginton, S (corresponding author), Univ Birmingham, Dept Physiol, Birmingham B15 2TT, W Midlands, England.</t>
  </si>
  <si>
    <t>Johnston, Ian A./AAE-2044-2019; Johnston, Ian A/D-6592-2013</t>
  </si>
  <si>
    <t>Egginton, Stuart/0000-0002-3084-9692</t>
  </si>
  <si>
    <t>COMPANY OF BIOLOGISTS LTD</t>
  </si>
  <si>
    <t>CAMBRIDGE</t>
  </si>
  <si>
    <t>BIDDER BUILDING CAMBRIDGE COMMERCIAL PARK COWLEY RD, CAMBRIDGE CB4 4DL, CAMBS, ENGLAND</t>
  </si>
  <si>
    <t>0022-0949</t>
  </si>
  <si>
    <t>J EXP BIOL</t>
  </si>
  <si>
    <t>J. Exp. Biol.</t>
  </si>
  <si>
    <t>538FY</t>
  </si>
  <si>
    <t>WOS:000174805600005</t>
  </si>
  <si>
    <t>Nishitani, N; Ogawa, T; Sato, N; Yamagishi, H; Pinnock, M; Villain, JP; Sofko, G; Troshichev, O</t>
  </si>
  <si>
    <t>A study of the dusk convection cell's response to an IMF southward turning</t>
  </si>
  <si>
    <t>ionospheric convection; IMF southward turning; polar cap boundary</t>
  </si>
  <si>
    <t>INTERPLANETARY MAGNETIC-FIELD; IONOSPHERIC ELECTRODYNAMICS TECHNIQUE; HIGH-LATITUDE CONVECTION; HF RADARS; POLAR; TIME; VORTICES; COMPONENT; PATTERNS; SYSTEM</t>
  </si>
  <si>
    <t>[1] One example of the response of ionospheric convection and the polar cap boundary to a sudden change in the interplanetary magnetic field (IMF) orientation has been studied by using ground magnetometers, the Super Dual Auroral Radar Network (SuperDARN), and Defense Meteorological Satellite Program (DMSP) particle detectors when the IMF suddenly changed from northward (+ 6 nT) to strongly southward (-19 nT) at 1716 UT on 5 September 1995. The B-z component was fairly constant for similar to2 hours before and similar to25 min after the sudden IMF change. The convection flow changed almost simultaneously over a global extent. This initial change of the convection pattern can be characterized by a sudden formation of a large flow vortex in the afternoon sector. This agrees with the earlier findings by Ruohoniemi and Greenwald [1998] and Ridley et al. [1998]. On the other hand, the response of the polar cap boundary (or its proxy) is more complicated. The Saskatoon radar, located in the late morning sector, observed an equatorward shift of the cusp scatter region simultaneously with the initial response of the convection flows. The DMSP particle data also showed a simultaneous equatorward expansion of the auroral oval in the 2100 magnetic local time (MLT) sector. The radar and particle data indicate the immediate equatorward expansion of the precipitation regions in the noon and premidnight sectors. About 10-20 min after the initial change, there were changes observed in the dusk region, namely, an equatorward expansion of the current reversal boundary observed by the Greenland magnetometer chain in the dusk sector between 1740 and 1750 UT and an equatorward expansion of the convection reversal boundary detected by the Stokkseyri, Halley, and Syowa radars. The delayed responses were observed 18-8 min before a substorm onset was recorded at midlatitude stations at 1756 UT. These observations indicate that there were two kinds of ionospheric responses to the southward turning of the IMF; the first response is the formation of the convection vortex and the equatorward shift of the polar cap boundary at noon and at similar to 2100 MLT, and the second response is the equatorward expansion of the convection reversal boundary in the dusk sector. We make the case that the first response is associated with the propagation of magnetosonic waves and that the second response is consistent with the Cowley and Lockwood [1992] picture of the redistribution of the newly created open flux in the polar cap region.</t>
  </si>
  <si>
    <t>Nagoya Univ, Solar Terr Environm Lab, Toyokawa 4428507, Japan; Natl Inst Polar Res, Tokyo 1738515, Japan; British Antarctic Survey, Cambridge CB3 0ET, England; CNRS, Lab Phys &amp; Chim Environm, F-45071 Orleans 2, France; Univ Saskatchewan, Dept Phys &amp; Engn Phys, Saskatoon, SK S7N 5E2, Canada; Arctic &amp; Antarctic Res Inst, St Petersburg 199397, Russia</t>
  </si>
  <si>
    <t>Nagoya University; Research Organization of Information &amp; Systems (ROIS); National Institute of Polar Research (NIPR) - Japan; UK Research &amp; Innovation (UKRI); Natural Environment Research Council (NERC); NERC British Antarctic Survey; Centre National de la Recherche Scientifique (CNRS); University of Saskatchewan; Arctic &amp; Antarctic Research Institute</t>
  </si>
  <si>
    <t>Nagoya Univ, Solar Terr Environm Lab, Honohara 3-13, Toyokawa 4428507, Japan.</t>
  </si>
  <si>
    <t>nisitani@stelab.nagoya-u.ac.jp</t>
  </si>
  <si>
    <t>A3</t>
  </si>
  <si>
    <t>10.1029/2001JA900095</t>
  </si>
  <si>
    <t>609MG</t>
  </si>
  <si>
    <t>WOS:000178908300002</t>
  </si>
  <si>
    <t>Palanques, A; Isla, E; Masqué, P; Puig, P; Sánchez-Cabeza, JA; Gili, JM; Guillén, J</t>
  </si>
  <si>
    <t>Downward particle fluxes and sediment accumulation rates in the western Bransfield Strait:: Implications of lateral transport for carbon cycle studies in Antarctic marginal seas</t>
  </si>
  <si>
    <t>JOURNAL OF MARINE RESEARCH</t>
  </si>
  <si>
    <t>AUSTRAL SUMMER; SOUTHERN-OCEAN; MCMURDO-SOUND; DEEP-SEA; PENINSULA; PHYTOPLANKTON; GERLACHE; BIOMASS; RECORD; WATERS</t>
  </si>
  <si>
    <t>Downward particle and carbon fluxes were studied along with sediment and carbon accumulation fluxes in the western Bransfield Strait. Particle fluxes at 1000 m depth indicate that most of the carbon accumulated in the seabed at the study site is transported laterally. Biogenic components of the near-bottom particle fluxes included well-preserved organic matter with benthic diatoms, amphipoda and polychaetes that were resuspended and/or winnowed in shallow environments and transported basinward. High near-bottom particle and carbon fluxes were in agreement with high sediment and carbon accumulation fluxes. About 12% of the near-bottom OC downward flux is buried below the SML in the deeper part of the basin. Carbon recycling in the sediment column is lower near the mouth of the Orleans Canyon (about 10%) than at the deeper part of the basin (about 50%). The carbon preserved in the sediment near the mouth of the canyon and at the deeper part of the basin represents about 9% and 3%, respectively, of the carbon produced in the euphotic layer of the study area. However, because most of the organic carbon (OC) is transported laterally, the higher primary productivity from nearby shallower areas should be considered and the percentage of the OC preserved in the sediment would account only for 4.5% and 1.5% at each of the study sites. The results show that resuspension in shallow environments, lateral transport and near-bottom downward fluxes must be considered in addition to surface primary production, midwater downward fluxes and accumulation rates in order to better understand the carbon dynamics in Antarctic marginal seas. The accumulation rates at many sites of these seas appear to be more sensitive to variability in current-driven sediment redistribution than to changes in productivity, which must be taken into account when interpreting the paleoceanographic record.</t>
  </si>
  <si>
    <t>CSIC, Inst Ciencies Mar, CMIMA, Barcelona 08015, Spain; Univ Autonoma Barcelona, Dept Fis, Ctr Estudis Ambientals, E-08193 Barcelona, Spain</t>
  </si>
  <si>
    <t>Consejo Superior de Investigaciones Cientificas (CSIC); CSIC - Centro Mediterraneo de Investigaciones Marinas y Ambientales (CMIMA); CSIC - Instituto de Ciencias del Mar (ICM); Autonomous University of Barcelona</t>
  </si>
  <si>
    <t>CSIC, Inst Ciencies Mar, CMIMA, Passeig Maritim de la Barceloneta 37-49, Barcelona 08015, Spain.</t>
  </si>
  <si>
    <t>albertp@icm.csic.es</t>
  </si>
  <si>
    <t>Masque, Pere/AAC-9349-2022; Puig, Pere/E-5422-2013; Palanques, Albert/C-2661-2013; Guillén, Jorge/E-6564-2010; Masque, Pere/B-7379-2008; Sanchez-Cabeza, Joan-Albert/Q-2394-2016</t>
  </si>
  <si>
    <t>Masque, Pere/0000-0002-1789-320X; Puig, Pere/0000-0001-6189-5504; Guillén, Jorge/0000-0001-7162-8135; Masque, Pere/0000-0002-1789-320X; Palanques, Albert/0000-0003-2544-2342; Sanchez-Cabeza, Joan-Albert/0000-0002-3540-1168; Isla, Enrique/0000-0003-4959-6936</t>
  </si>
  <si>
    <t>SEARS FOUNDATION MARINE RESEARCH</t>
  </si>
  <si>
    <t>NEW HAVEN</t>
  </si>
  <si>
    <t>YALE UNIV, KLINE GEOLOGY LAB, 210 WHITNEY AVENUE, NEW HAVEN, CT 06520-8109 USA</t>
  </si>
  <si>
    <t>0022-2402</t>
  </si>
  <si>
    <t>1543-9542</t>
  </si>
  <si>
    <t>J MAR RES</t>
  </si>
  <si>
    <t>J. Mar. Res.</t>
  </si>
  <si>
    <t>10.1357/00222400260497525</t>
  </si>
  <si>
    <t>552MQ</t>
  </si>
  <si>
    <t>WOS:000175624500007</t>
  </si>
  <si>
    <t>Lavery, AC; Stanton, TK; McGehee, DE; Chu, DZ</t>
  </si>
  <si>
    <t>Three-dimensional modeling of acoustic backscattering from fluid-like zooplankton</t>
  </si>
  <si>
    <t>JOURNAL OF THE ACOUSTICAL SOCIETY OF AMERICA</t>
  </si>
  <si>
    <t>KRILL EUPHAUSIA-SUPERBA; ANTARCTIC KRILL; SOUND-SCATTERING; TARGET STRENGTH; 120 KHZ; ORIENTATION; CYLINDERS; REPRESENTATION; INFERENCE; ABUNDANCE</t>
  </si>
  <si>
    <t>Scattering models that correctly incorporate organism size and shape are a critical component for the remote detection and classification of many marine organisms. In this work, an acoustic scattering model has been developed for fluid-like zooplankton that is based on the distorted wave Born approximation (DWBA) and that makes use of high-resolution three-dimensional measurements of the animal's outer boundary shape. High-resolution computerized tomography (CT) was used to determine the three-dimensional digitizations of animal shape. This study focuses on developing the methodology for incorporating high-resolution CT scans into a scattering model that is generally valid for any body with fluid-like material properties. The model predictions are compared to controlled laboratory measurements of the acoustic backscattering from live individual decapod shrimp. The frequency range used was 50 kHz to 1 MHz and the angular characteristics of the backscattering were investigated with up to a 1degrees angular resolution. The practical conditions under which it is necessary to make use of high-resolution digitizations of shape are assessed. 9 2002 Acoustical Society of America.</t>
  </si>
  <si>
    <t>Woods Hole Oceanog Inst, Woods Hole, MA 02543 USA</t>
  </si>
  <si>
    <t>Woods Hole Oceanographic Institution</t>
  </si>
  <si>
    <t>Lavery, AC (corresponding author), Woods Hole Oceanog Inst, Woods Hole, MA 02543 USA.</t>
  </si>
  <si>
    <t>Chu, Dezhang/L-7004-2015</t>
  </si>
  <si>
    <t>Lavery, Andone/0000-0002-0713-1623</t>
  </si>
  <si>
    <t>ACOUSTICAL SOC AMER AMER INST PHYSICS</t>
  </si>
  <si>
    <t>STE 1 NO 1, 2 HUNTINGTON QUADRANGLE, MELVILLE, NY 11747-4502 USA</t>
  </si>
  <si>
    <t>0001-4966</t>
  </si>
  <si>
    <t>J ACOUST SOC AM</t>
  </si>
  <si>
    <t>J. Acoust. Soc. Am.</t>
  </si>
  <si>
    <t>10.1121/1.1433813</t>
  </si>
  <si>
    <t>Acoustics; Audiology &amp; Speech-Language Pathology</t>
  </si>
  <si>
    <t>531HN</t>
  </si>
  <si>
    <t>WOS:000174410100007</t>
  </si>
  <si>
    <t>Vaughan, APM; Pankhurst, RJ; Fanning, CM</t>
  </si>
  <si>
    <t>A mid-Cretaceous age for the Palmer Land event, Antarctic Peninsula: implications for terrane accretion timing and Gondwana palaeolatitudes</t>
  </si>
  <si>
    <t>West Antarctica; Gondwana; superplumes; palaeolatitude</t>
  </si>
  <si>
    <t>SILICIC VOLCANISM; PACIFIC MARGIN; COAST</t>
  </si>
  <si>
    <t>New structural and age data suggest that West Gondwana may have been at lower palaeolatitudes than previously interpreted from Albian sequences in Gondwana marginal suspect terranes. The Palmer Land event, wWch juxtaposed Mesozoic terranes on the Gondwana margin, deformed granitoids in the southern Antarctic Peninsula. U-Pb SHRIMP dating of zircons from a microgranite dyke yields a crystallization age of 106.9 +/- 1.1 Ma. This result and re-interpretation of the structural position of another granite pluton date the Palmer Land event, and probable terrane collision, as late Early Cretaceous, and not latest Jurassic as formerly interpreted.</t>
  </si>
  <si>
    <t>British Antarctic Survey, Cambridge CB3 0ET, England; NERC, Isotope Geosci Lab, BAS, Keyworth NG12 5GG, Notts, England; Australian Natl Univ, PRISE, Canberra, ACT 0201, Australia</t>
  </si>
  <si>
    <t>UK Research &amp; Innovation (UKRI); Natural Environment Research Council (NERC); NERC British Antarctic Survey; UK Research &amp; Innovation (UKRI); Natural Environment Research Council (NERC); NERC British Geological Survey; Australian National University</t>
  </si>
  <si>
    <t>Vaughan, Alan PM/B-7829-2010; Fanning, Christopher Mark/I-6449-2016</t>
  </si>
  <si>
    <t>Fanning, Christopher Mark/0000-0003-3331-3145</t>
  </si>
  <si>
    <t>10.1144/0016-764901-090</t>
  </si>
  <si>
    <t>528RQ</t>
  </si>
  <si>
    <t>WOS:000174257100003</t>
  </si>
  <si>
    <t>Millar, IL; Pankhurst, RJ; Fanning, CM</t>
  </si>
  <si>
    <t>Basement chronology of the Antarctic Peninsula: recurrent magmatism and anatexis in the Palaeozoic Gondwana Margin</t>
  </si>
  <si>
    <t>Antarctic Peninsula; U-Pb; Triassic; maginatism; basement</t>
  </si>
  <si>
    <t>EASTERN PALMER LAND; U-PB GEOCHRONOLOGY; MARIE BYRD LAND; PACIFIC MARGIN; GRAHAM LAND; BREAK-UP; ZIRCON; EVOLUTION; AGE; COMPLEX</t>
  </si>
  <si>
    <t>A revised pre-Jurassic chronology is presented for the Antarctic Peninsula on the basis of new U-Pb zircon dating, using both conventional (11 samples) and SHRIMP microprobe data (10 samples). The age range for plutonism and high-grade metamorphism is from 435 +/- 8 Ma (Silurian) to c. 206 Ma (approximately the Triassic-Jurassic boundary), with peaks of activity in Devonian, Carboniferous, Permian and mid-Triassic times, although some are represented by rocks with limited outcrops. The new data confirm the importance of Mid- and latest Triassic magmatic events, previously identified using Rb-Sr geochronology. The Adie Inlet gneiss. previously thought to be Neoproterozoic, is recognized as a Permian migmatite derived from paragneiss with a provenance dominated by Cambrian granitoids. Granite gneiss from NW Palmer Land, previously dated as Cambrian, is shown to be Triassic. Detrital zircons in metasedimentary rocks, and inherited zircons in granitoids, are dominated by Mesoproterozoic to Cambrian components, with sparse Palaeoproterozoic to Archaean grains, suggesting sources within Gondwana. At times these sources were nearby, as shown by an Archaean cobble-sized granite clast from a Permo-Triassic conglomerate; another clast in the same conglomerate, previously thought to be Devonian in age, has an Ordovician crystallization age.</t>
  </si>
  <si>
    <t>NERC, Isotope Geosci Lab, British Antarctic Survey, Kingsley Dunham Ctr, Keyworth NG12 5GG, Notts, England; Australian Natl Univ, Res Sch Earth Sci, PRISE, Canberra, ACT 0201, Australia</t>
  </si>
  <si>
    <t>UK Research &amp; Innovation (UKRI); Natural Environment Research Council (NERC); NERC British Geological Survey; NERC British Antarctic Survey; Australian National University</t>
  </si>
  <si>
    <t>NERC, Isotope Geosci Lab, British Antarctic Survey, Kingsley Dunham Ctr, Keyworth NG12 5GG, Notts, England.</t>
  </si>
  <si>
    <t>Millar, Ian L/F-1541-2010; Fanning, Christopher Mark/I-6449-2016</t>
  </si>
  <si>
    <t>10.1144/0016-764901-020</t>
  </si>
  <si>
    <t>WOS:000174257100007</t>
  </si>
  <si>
    <t>Arnould, JPY; Hindell, MA</t>
  </si>
  <si>
    <t>Milk consumption, body composition and pre-weaning growth rates of Australian fur seal (Arctocephalus pusillus doriferus) pups</t>
  </si>
  <si>
    <t>Australian fur seal; Arctocephalus; pinniped; lactation</t>
  </si>
  <si>
    <t>MATERNAL INVESTMENT; ENERGY-TRANSFER; METABOLIC-RATE; OTARIID SEALS; GAZELLA; MASS; LION; SEX; EFFICIENCY; LACTATION</t>
  </si>
  <si>
    <t>Pre-weaning growth rates, body composition, milk consumption and mass gain efficiency were measured in Australian fur seal Aretocephalus pusillus doriferus pups born in two consecutive breeding periods. Australian fur seals have the highest birth mass of any fur seal species (male 8.3 kg; female 7.2 kg). While their absolute pre-weaning growth rate (male 62 g(.)day(-1); female 53 g(.)day(-1)) is similar to that of other temperate latitude fur seals, they have the longest birth-mass doubling time of any otariid species (134-136 days). Daily milk consumption increased from 400 g(.)day(-1) (5 MJ(.)day(-1)) after birth to 675 g(.)day(-1) (13.7 MJ(.)day(-1)) at age 210 day. However, mean mass-specific milk consumption (41 g(.)kg(-1)) is substantially lower than in other otariid species (58-70g(.)kg(-1)) and, combined with a low mass gain efficiency (0.12g(.)g(-1)), contributes to the low mass-specific growth rates observed. There were no significant differences in either absolute or mass-specific milk consumption between the sexes. Significant differences, however, were found between the sexes in the body composition of pups with females generally having larger body lipid stores than males for any given mass. Peak milk yield by Australian fur seal females is estimated at 0.60 MJkg(-0.75) substantially less than in Antarctic fur seals. The low level of maternal energy transfer in Australian fur seals may reflect the relatively low marine productivity of their foraging areas.</t>
  </si>
  <si>
    <t>Macquarie Univ, Grad Sch Environm, Marine Mammal Res Grp, Sydney, NSW 2109, Australia; Univ Tasmania, Sch Zool, Anatarctic Wildlife Res Unit, Hobart, Tas 7001, Australia</t>
  </si>
  <si>
    <t>Macquarie University; University of Tasmania</t>
  </si>
  <si>
    <t>Macquarie Univ, Grad Sch Environm, Marine Mammal Res Grp, Sydney, NSW 2109, Australia.</t>
  </si>
  <si>
    <t>jarnould@gse.mq.edu.au</t>
  </si>
  <si>
    <t>Hindell, Mark A/C-8368-2013; Hindell, Mark A/K-1131-2013</t>
  </si>
  <si>
    <t>Hindell, Mark/0000-0002-7823-7185</t>
  </si>
  <si>
    <t>10.1017/S0952836902000389</t>
  </si>
  <si>
    <t>539NA</t>
  </si>
  <si>
    <t>WOS:000174876000007</t>
  </si>
  <si>
    <t>Ropert-Coudert, Y; Kato, A; Bost, CA; Rodary, D; Sato, K; Le Maho, Y; Naito, Y</t>
  </si>
  <si>
    <t>Do Adelie penguins modify their foraging behaviour in pursuit of different prey?</t>
  </si>
  <si>
    <t>ANTARCTIC FUR SEALS; RECORDING DEVICES; LAND; DIET; ICE; PERFORMANCE; ATTACHMENT; ENERGETICS; ESOPHAGUS; INGESTION</t>
  </si>
  <si>
    <t>We examined the question, does foraging behaviour of Adelie penguins, Pygoscelis adeliae, change in accord with the prey captured? To provide an answer, we attached instruments that record foraging behaviour to free-ranging Adelie penguins foraging, off Adelie Land, during the late breeding season 1997. Depth of foraging was recorded for nine birds whose diet ranged from krill only to predominantly fish. Previous studies suggested that penguins capturing fish dived to shallower depths, but this could not be verified in our study. Moreover, most other foraging parameters did not indicate any significantly different patterns relative to prey caught. Only swim speed in the commuting phase, but not in the undulatory, bottom phase of deep dives differed with respect to prey consumed. We conclude that Adelie penguins foraging in open waters may change their foraging behaviour only slightly depending on the prey. Under other conditions, these changes may become more significant.</t>
  </si>
  <si>
    <t>Grad Univ Adv Studies, Dept Polar Sci, Itabashi Ku, Tokyo 1738515, Japan; Natl Inst Polar Res, Itabashi Ku, Tokyo 1738515, Japan; CNRS, Ctr Ecol &amp; Physiol Energet, F-67087 Strasbourg, France</t>
  </si>
  <si>
    <t>Graduate University for Advanced Studies - Japan; Research Organization of Information &amp; Systems (ROIS); National Institute of Polar Research (NIPR) - Japan; Universites de Strasbourg Etablissements Associes; Universite de Strasbourg; Centre National de la Recherche Scientifique (CNRS)</t>
  </si>
  <si>
    <t>Grad Univ Adv Studies, Dept Polar Sci, Itabashi Ku, 1-9-10 Kaga, Tokyo 1738515, Japan.</t>
  </si>
  <si>
    <t>yan@nipr.ac.jp</t>
  </si>
  <si>
    <t>Kato, Akiko/W-2447-2019</t>
  </si>
  <si>
    <t>Kato, Akiko/0000-0002-8947-3634</t>
  </si>
  <si>
    <t>10.1007/s00227-001-0719-z</t>
  </si>
  <si>
    <t>541FC</t>
  </si>
  <si>
    <t>WOS:000174973700022</t>
  </si>
  <si>
    <t>Kunito, T; Watanabe, I; Yasunaga, G; Fujise, Y; Tanabe, S</t>
  </si>
  <si>
    <t>Using trace elements in skin to discriminate the populations of minke whales in southern hemisphere</t>
  </si>
  <si>
    <t>trace metals; southern hemisphere; minke whale; biopsy; marine mammal; accumulation; contaminants</t>
  </si>
  <si>
    <t>DOLPHINS STENELLA-COERULEOALBA; HEAVY-METALS; BALAENOPTERA-ACUTOROSTRATA; STRIPED DOLPHINS; MARINE MAMMALS; PERSISTENT ORGANOCHLORINES; ECOLOGICAL FACTORS; WEST GREENLAND; LIVER-TISSUES; MERCURY</t>
  </si>
  <si>
    <t>Concentrations of 12 trace elements (V, Cr, Mn, Cu, Zn, Se, Rb, Sr, Cd, Cs, Ba, and Hg) were determined in liver and skin tissues of minke whales from various regions within the Antarctic Ocean. Cd concentrations in livers of southern minke whale were apparently higher than those in cetaceans from other regions, while Hg concentrations were lower. There were significant positive correlations between body length and concentrations of Cd and Hg in the liver. The concentrations of all trace elements in the skin were lower than those in other cetaceans reported previously. Significant positive correlations between liver and skin were found for Cr, Mn, Cu, Zn, Rb, Cd, and Cs, implying that the concentrations of these trace elements in the skin reflect those of internal organs. Large interannual variation of the accumulation pattern of trace elements in the skin was observed for the southern minke whales from Area V. There were significant differences in the skin element concentrations among Areas III, IV, and V, especially for males. Also, discriminant analysis between geographically two different groups collected during 1995/1996 austral summer season, based on the concentrations of trace elements in the skin, allowed for a correct classification of 90% of these minke whales. These results suggest that measurement of trace elements in skin samples could provide valuable information on the status of contamination and possible geographic differences in the accumulation levels in southern minke whales. (C) 2001 Elsevier Science Ltd. All rights reserved.</t>
  </si>
  <si>
    <t>Ehime Univ, CMES, Matsuyama, Ehime 7908566, Japan; Tokyo Univ Agr &amp; Technol, Dept Environm Conservat, Fuchu, Tokyo 1838509, Japan; Inst Cetacean Res, Chuo Ku, Tokyo 1040055, Japan</t>
  </si>
  <si>
    <t>Ehime University; Tokyo University of Agriculture &amp; Technology</t>
  </si>
  <si>
    <t>Tanabe, S (corresponding author), Ehime Univ, CMES, Tarumi 3-5-7, Matsuyama, Ehime 7908566, Japan.</t>
  </si>
  <si>
    <t>Nomiyama, Kei/G-6950-2013; Watanabe, Izumi/C-2086-2013; Tanabe, Shinsuke/G-6950-2013; Kunito, Takashi/D-8449-2012</t>
  </si>
  <si>
    <t>Nomiyama, Kei/0000-0002-8012-3806; Tanabe, Shinsuke/0000-0002-0911-6232; Kunito, Takashi/0000-0002-3028-736X</t>
  </si>
  <si>
    <t>10.1016/S0141-1136(01)00119-2</t>
  </si>
  <si>
    <t>508QG</t>
  </si>
  <si>
    <t>WOS:000173099700004</t>
  </si>
  <si>
    <t>Golovin, PN</t>
  </si>
  <si>
    <t>Thermohaline variability and convective gravity currents in the region of coastal polynyas in the Laptev Sea</t>
  </si>
  <si>
    <t>FRAZIL ICE; TURBULENT CONVECTION; SHELF POLYNYAS; ARCTIC-OCEAN; EDDIES; LEADS; HALOCLINE</t>
  </si>
  <si>
    <t>In the winter-spring period, each opening of a coastal ice polynya results in the intensification of 3D turbulent convection. Reaching the seasonal pycnocline, at the Richardson numbers of the pycnocline Ri &gt; 10, the convective layer weakly interacts with it and spreads beyond the polynya under fast ice in the form of a 3D gravity current. The initial local pattern of the gravity currents in the vicinity of the fast ice edge is formed when a compensation countercurrent toward the polynya is generated in the upper quasi-homogenous layer (UQL). Due to the baroclinic instability and under the action of the Coriolis force, the initial gravity current further transforms into a quasi-2D mesoscale gravity current, the direction of which in the quasi-steady state is the same as that of the edge of the fast ice. It becomes large-scale in extent since it develops over the entire polynya. Outside of the zone of the compensation current in the upper quasi-homogeneous layer both in the polynya and under fast ice after the dynamical fitting, the direction of the current in all the layers is the same as that of the quasi-2D mesoscale gravity current. This scheme of formation and evolution of gravity currents in the region of the polynya is based on the results of laboratory modeling and in many respects is supported by field observations in the region of the coastal polynyas in the Laptev Sea.</t>
  </si>
  <si>
    <t>Arctic &amp; Antarctic Res Inst, State Res Ctr, St Petersburg 199226, Russia</t>
  </si>
  <si>
    <t>Golovin, PN (corresponding author), Arctic &amp; Antarctic Res Inst, State Res Ctr, St Petersburg 199226, Russia.</t>
  </si>
  <si>
    <t>550WV</t>
  </si>
  <si>
    <t>WOS:000175528600002</t>
  </si>
  <si>
    <t>Crame, JA</t>
  </si>
  <si>
    <t>Evolution of taxonomic diversity gradients in the marine realm: a comparison of Late Jurassic and Recent bivalve faunas</t>
  </si>
  <si>
    <t>PALEOBIOLOGY</t>
  </si>
  <si>
    <t>ANTARCTIC PENINSULA; HISTORY; FACIES; BUCHIA; SEA</t>
  </si>
  <si>
    <t>We still have much to learn about the evolution of taxonomic diversity gradients through geologic time. For example, have latitudinal gradients always been as steep as they are now, or is this a phenomenon linked to some form of Cenozoic global climatic differentiation? The fossil record offers potential to address this sort of problem, and this study reconstructs latitudinal diversity gradients for the last (Tithonian) stage of the Jurassic period using marine bivalves. At this time of relative global warmth, bivalves were cosmopolitan in their distribution and the commonest element within macrobenthic assemblages. Analysis of 31 regional bivalve faunas demonstrates that Tithonian latitudinal gradients were present in both hemispheres, though on a much smaller magnitude than today. The record of the Northern Hemisphere gradient is more complete and shows a steep fall in values at the tropical/ temperate boundary; the Southern Hemisphere gradient exhibits a more regular decline in diversity with increasing latitude. Tithonian latitudinal gradients were underpinned by a tropical bivalve fauna that comprises almost equal numbers of epifaunal and infaunal taxa. The epifaunal component was dominated by three pteriomorph families, the Pectinidae, Limidae and Ostreidae, that may be regarded as a long-term component of tropical bivalve diversity. Of the mixture of older and newer heteroconch families that formed the bulk of the infaunal component, the latter radiated spectacularly through the Late Cretaceous and Cenozoic to dominate tropical bivalve faunas at the present day. This pulse of heteroconch diversification, which was a major cause of the steepening of the bivalve latitudinal gradient, provides important evidence that rates of speciation may be negatively correlated with latitude. Nevertheless, we cannot exclude the possibility that elevated extinction rates in the highest latitudes also contributed to the marked steepening of bivalve latitudinal gradients over the last 150 Myr. Rates of extinction within epifaunal bivalve taxa appear to have been higher in these regions through the Cretaceous period, but this was largely before any significant global climatic deterioration. Infaunal bivalve clades have had differential success over this time period in the polar regions. Whereas, in comparison with the Tropics, heteroconchs are very much reduced in numbers today, the anomalodesmatans are much better represented, and the protobranchs have positively thrived. We are beginning to appreciate that low temperature per se may not be a primary cause of elevated rates of extinction. Food supply may be an equally important control on both rates of speciation and extinction; those bivalves that have been able to adapt to the extreme seasonality of food supply have flourished in the polar regions.</t>
  </si>
  <si>
    <t>A.Crame@bas.ac.uk</t>
  </si>
  <si>
    <t>0094-8373</t>
  </si>
  <si>
    <t>1938-5331</t>
  </si>
  <si>
    <t>Paleobiology</t>
  </si>
  <si>
    <t>Biodiversity Conservation; Ecology; Evolutionary Biology; Paleontology</t>
  </si>
  <si>
    <t>Biodiversity &amp; Conservation; Environmental Sciences &amp; Ecology; Evolutionary Biology; Paleontology</t>
  </si>
  <si>
    <t>563BE</t>
  </si>
  <si>
    <t>WOS:000176232900002</t>
  </si>
  <si>
    <t>Fagel, N; Dehairs, F; André, L; Bareille, G; Monnin, C</t>
  </si>
  <si>
    <t>Ba distribution in surface Southern Ocean sediments and export production estimates -: art. no. 1011</t>
  </si>
  <si>
    <t>excess Ba; sediment; Southern Ocean; export production</t>
  </si>
  <si>
    <t>AUSTRAL SPRING 1992; ANTARCTIC CIRCUMPOLAR CURRENT; GLACIAL-INTERGLACIAL CHANGES; ATLANTIC SECTOR; ATMOSPHERIC CO2; EQUATORIAL PACIFIC; MARINE BARITE; INDIAN SECTOR; WATER COLUMN; DEEP-SEA</t>
  </si>
  <si>
    <t>[1] We present excess Ba (Baxs) data (i.e., total Ba corrected for lithogenic Ba) for surface sediments from a north-south transect between the Polar Front Zone and the northern Weddell Gyre in the Atlantic sector and between the Polar Front Zone and the Antarctic continent in the Indian sector. Focus is on two different processes that affect excess Ba accumulation in the sediments: sediment redistribution and excess Ba dissolution. The effect of these processes needs to be corrected for in order to convert accumulation rate into vertical rain rate, the flux component that can be linked to export production. In the Southern Ocean a major process affecting Ba accumulation rate is sediment focusing, which is corrected for using excess Th-230. This correction, however, may not always be straightforward because of boundary scavenging effects. A further major process affecting excess Ba accumulation is barite dissolution during exposure at the sediment-water column interface. Export production estimates derived from excess Th-230 and barite dissolution corrected Baxs accumulation rates (i.e., excess Ba vertical rain rates) are of the same magnitude but generally larger than export production estimates based on water column proxies (Th-234-deficit in the upper water column; particulate excess Ba enrichment in the mesopelagic water column). We believe export production values based on excess Ba vertical rain rate might be overestimated due to inaccurate assessment of the Baxs preservation rate. Barite dissolution has, in general, been taken into account by relating it to exposure time before burial depending on the rate of sediment accumulation. However, the observed decrease of excess Ba content with increasing water column depth (or increasing hydrostatic pressure) illustrates the dependence of barite preservation on degree of saturation in the deep water column in accordance with available thermodynamic data. Therefore correction for barite dissolution would not be appropriate by considering only exposure time of the barite to some uniformly undersaturated deep water but requires also that regional differences in degree of undersatuation be taken into account.</t>
  </si>
  <si>
    <t>Univ Liege, Clay Mineral Dept, Liege, Belgium; Free Univ Brussels, Dept Analyt Chem, B-1050 Brussels, Belgium; Royal Museum Cent Africa, Mineral &amp; Geochem Dept, B-3080 Tervuren, Belgium; Univ Bordeaux, Geol &amp; Oceanog Dept, Bordeaux, France; Univ Pau &amp; Pays Adour, CNRS, UMR 5034, LCABIE, F-64053 Pau 9, France; Univ Toulouse 3, Lab Geochem, F-31400 Toulouse, France</t>
  </si>
  <si>
    <t>University of Liege; Universite Libre de Bruxelles; Royal Museum for Central Africa; Universite de Bordeaux; Centre National de la Recherche Scientifique (CNRS); Universite de Pau et des Pays de l'Adour; Universite de Toulouse; Universite Toulouse III - Paul Sabatier</t>
  </si>
  <si>
    <t>Univ Liege, Clay Mineral Dept, Allee 6 Aout,B18 Sart Tilman, Liege, Belgium.</t>
  </si>
  <si>
    <t>nathalie.fagel@ulg.ac.be</t>
  </si>
  <si>
    <t>Monnin, Christophe/AAD-1215-2020; Bareille, Gilles/AAS-3113-2020</t>
  </si>
  <si>
    <t>Monnin, Christophe/0000-0002-9343-6414; fagel, nathalie/0000-0002-8231-8295; Andre, Luc/0000-0002-7286-0072</t>
  </si>
  <si>
    <t>MAR-JUN</t>
  </si>
  <si>
    <t>10.1029/2000PA000552</t>
  </si>
  <si>
    <t>610BE</t>
  </si>
  <si>
    <t>Green Published, Bronze, Green Submitted</t>
  </si>
  <si>
    <t>WOS:000178940200017</t>
  </si>
  <si>
    <t>Lamy, F; Rühlemann, C; Hebbeln, D; Wefer, G</t>
  </si>
  <si>
    <t>High- and low-latitude climate control on the position of the southern Peru-Chile Current during the Holocene -: art. no. 1028</t>
  </si>
  <si>
    <t>SE Pacific; paleoceanography; paleoclimate; alkenones; paleosalinity</t>
  </si>
  <si>
    <t>PALYNOLOGICAL EVIDENCE; ATLANTIC-OCEAN; MARINE RECORD; VARIABILITY; CIRCULATION; ANTARCTICA; VEGETATION; SEDIMENTS; HISTORY; ONSET</t>
  </si>
  <si>
    <t>[1] We reconstructed changes of temperature, salinity, and productivity within the southern Peru-Chile Current during the last 8000 years from a high-resolution sediment core recovered at 41degreesS using alkenones, isotope ratios of planktic foraminifera, biogenic opal, and organic carbon. Paleotemperatures and paleosalinities reached maximum values at similar to5500 years ago and thereafter declined to modern values, whereas paleoproductivity continuously increased throughout the last 8000 years. We ascribe these long-term Holocene trends primarily to latitudinal shifts of the Antarctic Circumpolar Current (ACC). The concurrence with shifts in the position of the Southern Westerlies points to a common response of atmospheric and oceanographic circulation patterns off southern Chile. Millennial- to centennial-scale fluctuations of paleotemperatures and paleosalinities, on the other hand, lag displacements in the position of the Southern Westerlies but reveal a significant correlation to short-term temperature changes in Antarctica, indicating a high-latitude control of the ACC at these timescales.</t>
  </si>
  <si>
    <t>Univ Bremen, Fachbereich Geowissensch, D-28334 Bremen, Germany</t>
  </si>
  <si>
    <t>Univ Bremen, Fachbereich Geowissensch, Postfach 33 04 40, D-28334 Bremen, Germany.</t>
  </si>
  <si>
    <t>flamy@uni-bremen.de</t>
  </si>
  <si>
    <t>Wefer, Gerold/S-2291-2016; Lamy, Frank/H-3611-2014; Hebbeln, Dierk/P-9766-2016</t>
  </si>
  <si>
    <t>Wefer, Gerold/0000-0002-6803-2020; Lamy, Frank/0000-0001-5952-1765; Hebbeln, Dierk/0000-0001-5099-6115</t>
  </si>
  <si>
    <t>10.1029/2001PA000727</t>
  </si>
  <si>
    <t>Green Published, Green Submitted</t>
  </si>
  <si>
    <t>WOS:000178940200001</t>
  </si>
  <si>
    <t>Leventer, A; Domack, E; Barkoukis, A; McAndrews, B; Murray, J</t>
  </si>
  <si>
    <t>Laminations from the Palmer Deep: A diatom-based interpretation</t>
  </si>
  <si>
    <t>Antarctica; diatoms; laminations; Holocene</t>
  </si>
  <si>
    <t>ANTARCTIC PENINSULA REGION; SEA ICE EDGE; CONTINENTAL-SHELF; GLACIAL HISTORY; WEDDELL SEA; MEDITERRANEAN SAPROPELS; SEDIMENT TRAP; ANNUAL CYCLE; CALIFORNIA; MARINE</t>
  </si>
  <si>
    <t>[1] Highly laminated, Holocene age, diatomaceous sediments are characteristic of the Palmer Deep, western Antarctic Peninsula (Ocean Drilling Program (ODP) Leg 178, Site 1098). From similar to10,000 years B. P. to the present, laminations are comprised of several groups of diatoms. Chaetoceros resting spores, the dominant laminae former, result from intense spring blooms. Rhizosolenia, Proboscia, Thalassiothrix, and Corethron are common also, the consequence of summer production marked by a well-stratified water column. Each lamination represents a single productivity event, but laminations are not necessarily annual. High concentrations of a subpolar form of Eucampia antarctica, in laminations between similar to9000 and 6700 years B. P., suggest early Holocene warmth, a consequence of southward intrusion of more subpolar waters. The glacial-interglacial transition is distinguished by pairs of laminae most likely deposited annually. Laminations with an overwhelming dominance of Chaetoceros resting spores alternate with more terrigenous'' laminae, representing alternation of intense spring blooms, with more mixed deposition during the summer. Proximity to retreating glacial ice results in the supply of silt and sand that provides a marker bed between successive blooms.</t>
  </si>
  <si>
    <t>Colgate Univ, Dept Geol, Hamilton, NY 13346 USA; Hamilton Coll, Dept Geol, Clinton, NY USA</t>
  </si>
  <si>
    <t>Colgate University; Hamilton College</t>
  </si>
  <si>
    <t>Leventer, A (corresponding author), Colgate Univ, Dept Geol, Hamilton, NY 13346 USA.</t>
  </si>
  <si>
    <t>Leventer, Amy/0000-0001-9401-0987</t>
  </si>
  <si>
    <t>10.1029/2001PA000624</t>
  </si>
  <si>
    <t>WOS:000178940200002</t>
  </si>
  <si>
    <t>Shevenell, AE; Kennett, JP</t>
  </si>
  <si>
    <t>Antarctic Holocene climate change: A benthic foraminiferal stable isotope record from Palmer Deep</t>
  </si>
  <si>
    <t>Antarctic paleoceanography; stable isotopes; Holocene; climate change; benthic foraminifera</t>
  </si>
  <si>
    <t>SEA-ICE; NORTH-ATLANTIC; LAST DEGLACIATION; ROSS SEA; PENINSULA; WEST; VARIABILITY; CIRCULATION; GREENLAND; MARINE</t>
  </si>
  <si>
    <t>[1] The first moderate- to high-resolution Holocene marine stable isotope record from the nearshore Antarctic continental shelf (Ocean Drilling Program (ODP) Hole 1098B) suggests sensitivity of the western Antarctic Peninsula hydrography to westerly wind strength and El Nino-Southern Oscillation (ENSO)-like climate variability. Despite proximity to corrosive Antarctic water masses, sufficient CaCO3 in Palmer Deep sediments exists to provide a high-quality stable isotopic record (especially in the late Holocene). Coherence of benthic foraminifer delta(18)O, delta(13)C, sedimentologic, and CaCO3 fluctuations suggests that rapid (&lt;20 years) Palmer Deep bottom water temperature fluctuations of 1 degrees-1.5 degrees C are associated with competitive interactions between two dominant oceanographic/climatic states. An abrupt shift from a warmer, stable Upper Circumpolar Deep Water (UCDW) state to a cooler, variable shelf water state occurred at similar to 3.6 ka. Palmer Deep bottom waters oscillated between UCDW and shelf water-dominated states between similar to 3.6 and 0.05 ka. Cool shelf water intervals correlate with Neoglacial events, the most recent and largest being the Little Ice Age (LIA; similar to 0.7-0.2 ka). Similarities between Palmer Deep and global Holocene records and the rapidity of inferred bottom water fluctuations suggest that western Antarctic Peninsula shelf hydrography has not been controlled by thermohaline reorganizations but by variable strength and/or position of the Southern Hemisphere westerly wind field. We suggest that these atmospheric perturbations may have originated in the low-latitude tropical Pacific.</t>
  </si>
  <si>
    <t>Univ Calif Santa Barbara, Dept Geol Sci, Santa Barbara, CA 93106 USA; Univ Calif Santa Barbara, Inst Marine Sci, Santa Barbara, CA 93106 USA</t>
  </si>
  <si>
    <t>University of California System; University of California Santa Barbara; University of California System; University of California Santa Barbara</t>
  </si>
  <si>
    <t>Univ Calif Santa Barbara, Dept Geol Sci, Santa Barbara, CA 93106 USA.</t>
  </si>
  <si>
    <t>amelia@geosci.geol.ucsb.edu</t>
  </si>
  <si>
    <t>shevenell, Amelia/A-4161-2009; Shevenell, Amelia E/C-2757-2015</t>
  </si>
  <si>
    <t>10.1029/2000PA000596</t>
  </si>
  <si>
    <t>WOS:000178940200009</t>
  </si>
  <si>
    <t>Sikes, EL; Howard, WR; Neil, HL; Volkman, JK</t>
  </si>
  <si>
    <t>Glacial-interglacial sea surface temperature changes across the subtropical front east of New Zealand based on alkenone unsaturation ratios and foraminiferal assemblages</t>
  </si>
  <si>
    <t>paleoceanography; sea surface temperature; alkenones; Southern Ocean; Last Glacial Maximum</t>
  </si>
  <si>
    <t>SOUTHWEST PACIFIC-OCEAN; SOUTHEASTERN NEW-ZEALAND; LONG-CHAIN ALKENONES; NORTHERN NEW-ZEALAND; LATE QUATERNARY; SOUTHERN-OCEAN; GEPHYROCAPSA-OCEANICA; CHATHAM RISE; PALEOTEMPERATURE ESTIMATION; HYDROLOGICAL FRONTS</t>
  </si>
  <si>
    <t>[1] We present sea surface temperature (SST) estimates based on the relative abundances of long-chain C-37 alkenones (U-37(K')) in four sediment cores from a transect spanning the subtropical to subantarctic waters across the subtropical front east of New Zealand. SST estimates from U-37(K') are compared to those derived from foraminiferal assemblages (using the modern analog technique) in two of these cores. Reconstructions of SST in core tops and Holocene sediments agree well with modern average summer temperatures of similar to18degreesC in subtropical waters and similar to14degreesC in subpolar waters, with a 4degrees-5degreesC gradient across the front. Down core U-37(K') SST estimates indicate that the regional summer SST was 4degrees-5degreesC cooler during the last glaciation with an SST of similar to10degreesC in subpolar waters and an SST of similar to14degreesC in subtropical waters. Temperature reconstructions from foraminiferal assemblages agree with those derived from alkenones for the Holocene. In subtropical waters, reconstructions also agree with a glacial cooling of 4degrees to similar to14degreesC. In contrast, reconstructions for subantarctic pre-Holocene waters indicate a cooling of 8degreesC with glacial age warm season water temperatures of similar to6degreesC. Thus the alkenones suggest the glacial temperature gradient across the front was the same or reduced slightly to 3.5degrees-4degreesC, whereas foraminiferal reconstructions suggest it doubled to 8degreesC. Our results support previous work indicating that the STF remained fixed over the Chatham Rise during the Last Glacial Maximum. However, the differing results from the two techniques require additional explanation. A change in euphotic zone temperature profiles, seasonality of growth, or preferred growth depth must have affected the temperatures recorded by these biologically based proxies. Regardless of the specific reason, a differential response to the environmental changes between the two climate regimes by the organisms on which the estimates are based suggests increased upwelling associated with increased winds and/or a shallowing of the thermocline associated with increased stratification of the surface layer in the last glaciation.</t>
  </si>
  <si>
    <t>Cooperat Res Ctr Antarctic &amp; So Ocean Environm, Hobart, Tas 7001, Australia; Natl Inst Water &amp; Atmosphere, Wellington, New Zealand; CSIRO Marine Res, Hobart, Tas 7001, Australia</t>
  </si>
  <si>
    <t>National Institute of Water &amp; Atmospheric Research (NIWA) - New Zealand; Commonwealth Scientific &amp; Industrial Research Organisation (CSIRO)</t>
  </si>
  <si>
    <t>Sikes, EL (corresponding author), Rutgers State Univ, Inst Marine &amp; Coastal Sci, 71 Dudley Rd, New Brunswick, NJ 08901 USA.</t>
  </si>
  <si>
    <t>Sikes, Elisabeth/HPE-8194-2023; Volkman, John K/A-6592-2008</t>
  </si>
  <si>
    <t>Sikes, Elisabeth/0000-0003-2900-3283</t>
  </si>
  <si>
    <t>10.1029/2001PA000640</t>
  </si>
  <si>
    <t>WOS:000178940200016</t>
  </si>
  <si>
    <t>Peck, LS; Pörtner, HO; Hardewig, I</t>
  </si>
  <si>
    <t>Metabolic demand, oxygen supply, and critical temperatures in the antarctic bivalve Laternula elliptica</t>
  </si>
  <si>
    <t>PHYSIOLOGICAL AND BIOCHEMICAL ZOOLOGY</t>
  </si>
  <si>
    <t>MITOCHONDRIAL-FUNCTION; SUMMER METABOLISM; ENERGY-METABOLISM; ARENICOLA-MARINA; CONSUMPTION; BRODERIP; GROWTH; LEAK</t>
  </si>
  <si>
    <t>Oxygen consumption ((M) over dot o(2)), heartbeat rate and form, and circulating hemolymph oxygen content were measured in relation to temperature in the large Antarctic infaunal bivalve Laternula elliptica. After elevations in temperature from 0degrees to 3degrees, 6degrees, and then 9degreesC, (M) over dot o(2) and heartbeat rate rose to new levels, whereas. maximum circulating hemolymph oxygen content fell. At 0degreesC, (M) over dot o(2) was 19.6 mumol O-2 h(-1) for a standard animal of 2-g tissue. ash-free dry mass, which equates to a 8.95-g tissue dry-mass or 58.4-g tissue wet-mass animal. Elevation of metabolism following temperature change had acute Q(10) values between 4.1 and 5, whereas acclimated figures declined from 3.4 (between 0degrees and 3degreesC) to 2.2 (3degrees-6degreesC) and 1.9 (6degrees-9degreesC). Heartbeat rate showed no acclimation following temperature elevations, with Q(10) values of 3.9, 3.2, and 4.3, respectively. Circulating hemolymph oxygen content declined from 0degrees to 3degrees and 6degreesC but stayed at a constant Po-2 (73-78 mmHg) and constant proportion (similar to50%) of the oxygen content of the ambient water. At 9degreesC, (M) over dot o(2) and heartbeat rate both peaked at values 3.3 times those. measured at 0degreesC, which may indicate aerobic scope in this species. After these peaks, both measures declined rapidly over the ensuing 5 d to the lowest measured in the study, and the bivalves began to die. Hemolymph oxygen content fell dramatically at 9degreesC to values between 2% and 12% of ambient water O-2 content and had a maximum Po-2 of around 20 mmHg. These data indicate an experimental upper lethal temperature of 9degreesC and a critical temperature, where a long-term switch to anaerobic metabolism probably occurs, of around 6degreesC for L. elliptica. Concurrent measures of mitochondrial function in the same species had indicated strong thermal sensitivity in proton leakage costs, and our data support the hypothesis that as temperature rises, mitochondrial maintenance costs rapidly outstrip oxygen supply mechanisms in cold stenothermal marine species.</t>
  </si>
  <si>
    <t>British Antarctic Survey, NERC, Cambridge CB3 0ET, England; Alfred Wegener Inst Polar &amp; Marine Res, D-27515 Bremerhaven, Germany</t>
  </si>
  <si>
    <t>UK Research &amp; Innovation (UKRI); Natural Environment Research Council (NERC); NERC British Antarctic Survey; Helmholtz Association; Alfred Wegener Institute, Helmholtz Centre for Polar &amp; Marine Research</t>
  </si>
  <si>
    <t>l.peck@bas.ac.uk</t>
  </si>
  <si>
    <t>Pörtner, Hans-O./ISU-9397-2023; Pörtner, Hans-O./K-9429-2016</t>
  </si>
  <si>
    <t>Pörtner, Hans-O./0000-0001-6535-6575</t>
  </si>
  <si>
    <t>UNIV CHICAGO PRESS</t>
  </si>
  <si>
    <t>CHICAGO</t>
  </si>
  <si>
    <t>1427 E 60TH ST, CHICAGO, IL 60637-2954 USA</t>
  </si>
  <si>
    <t>1522-2152</t>
  </si>
  <si>
    <t>1537-5293</t>
  </si>
  <si>
    <t>PHYSIOL BIOCHEM ZOOL</t>
  </si>
  <si>
    <t>Physiol. Biochem. Zool.</t>
  </si>
  <si>
    <t>10.1086/340990</t>
  </si>
  <si>
    <t>615AC</t>
  </si>
  <si>
    <t>WOS:000179222800002</t>
  </si>
  <si>
    <t>Tokita, M; Ishii, S; Iwami, T; Miyazaki, JI</t>
  </si>
  <si>
    <t>Phylogenetic analysis of Antarctic notothenioid fishes based on two-dimensional gel electrophoresis</t>
  </si>
  <si>
    <t>TWO-DIMENSIONAL ELECTROPHORESIS; MITOCHONDRIAL PHYLOGENY; MOLECULAR EVOLUTION; PERCIFORMES; SYSTEMATICS; PROTEINS</t>
  </si>
  <si>
    <t>There has been some controversy over the phylogeny of Antarctic notothenioid fishes among researchers. In this study, total protein constituents of cardiac muscles from six well-known notothenioid species were compared by two-dimensional gel electrophoresis to obtain comprehensive phylogenetic information to shed light on the controversial issues. Our phylogenetic analyses showed that Gymnodraco acuticeps (Bathydraconidae) and Champsocephalus gunnari. (Channichthyidae) composed a sistergroup, and that the family Nototheniidae was paraphyletic, because nototheniid Gobionotothen gibberifrons was more closely related to the bathydraconid-channichthyid clade than to the clade composed of three other nototheniid species. Our data also showed that Trematomus bernacchii was more closely related to Pagothenia borchgrevinki than to congeneric T. eluepidotus, suggesting that the taxonomic status of P. borchgrevinki or T. bernacchii should be re-evaluated. Since our results were supported by nucleotide sequence data on rRNA genes, phylogenetic relationships of Antarctic notothenioids have become more entrenched by molecular approaches at both protein and DNA levels.</t>
  </si>
  <si>
    <t>Univ Tsukuba, Inst Biol Sci, Tsukuba, Ibaraki 3058572, Japan; Tokyo Kasei Gakuin Univ, Biol Lab, Tokyo 1940292, Japan</t>
  </si>
  <si>
    <t>University of Tsukuba</t>
  </si>
  <si>
    <t>Univ Tsukuba, Inst Biol Sci, Tsukuba, Ibaraki 3058572, Japan.</t>
  </si>
  <si>
    <t>junichi@biol.tsukuba.ac.jp</t>
  </si>
  <si>
    <t>Miyazaki, Jun-ichi/N-1976-2015</t>
  </si>
  <si>
    <t>10.1007/s003000100324</t>
  </si>
  <si>
    <t>536QK</t>
  </si>
  <si>
    <t>WOS:000174713200001</t>
  </si>
  <si>
    <t>McGaffin, AF; Nicol, S; Ritz, DA</t>
  </si>
  <si>
    <t>Changes in muscle tissue of shrinking Antarctic krill</t>
  </si>
  <si>
    <t>EUPHAUSIA-SUPERBA DANA; BODY SHRINKAGE; GROWTH; POPULATION; ADAPTATION; MATURATION; BEHAVIOR; SUMMER; AGE</t>
  </si>
  <si>
    <t>We examined the mechanism by which Antarctic krill, Euphausia superba, shrink, and suggest that cellular changes occurring during shrinkage may provide a means for identifying krill that have undergone shrinkage. We compared the muscle tissue of juvenile, adult and shrunken adult krill to identify changes in cell number associated with maturity and shrinkage. Comparison of the absolute number and density of nuclei in abdominal segments of juvenile, adult and shrunken adult krill revealed differences related to maturity and shrinkage. Shrunken adult krill had nearly twice as many nuclei per unit area than adult krill that had not shrunk. This suggests that krill shrink by a reduction in cell volume, rather than cell loss. This simply detected variation in muscle cell nucleus density may be useful in distinguishing shrunken adult krill from juveniles, and contribute to our knowledge of age structure in natural populations.</t>
  </si>
  <si>
    <t>Univ Tasmania, Sch Zool, Hobart, Tas 7001, Australia; Australian Antarctic Div, Kingston, Tas 7050, Australia</t>
  </si>
  <si>
    <t>McGaffin, AF (corresponding author), Univ Tasmania, Inst Antarctic &amp; So Ocean Studies, GPO Box 252-77, Hobart, Tas 7001, Australia.</t>
  </si>
  <si>
    <t>10.1007/s003000100325</t>
  </si>
  <si>
    <t>WOS:000174713200003</t>
  </si>
  <si>
    <t>Stankovic, A; Spalik, K; Kamler, E; Borsuk, P; Weglenski, P</t>
  </si>
  <si>
    <t>Recent origin of sub-Antarctic notothenioids</t>
  </si>
  <si>
    <t>MITOCHONDRIAL PHYLOGENY; EVOLUTION; FISHES; BIOGEOGRAPHY</t>
  </si>
  <si>
    <t>Comparison of partial mitochondrial 12S and 16S rDNA sequences from non-Antarctic notothenioid fishes - an icefish Champsocephalus esox and two members of the genus Patagonotothen - and their sister species from the Southern Ocean suggests that their divergence took place 1.7 and 6.6-7 million years ago, respectively, i.e. much later than the formation of the Antarctic Polar Front (20-25 million years ago).</t>
  </si>
  <si>
    <t>Polish Acad Sci, Dept Antarctic Biol, PL-02141 Warsaw, Poland; Ctr Archeol Res Novae, PL-02089 Warsaw, Poland; Univ Warsaw, Dept Plant Syst &amp; Geog, PL-00478 Warsaw, Poland; Univ Warsaw, Dept Genet, PL-02106 Warsaw, Poland</t>
  </si>
  <si>
    <t>Polish Academy of Sciences; University of Warsaw; University of Warsaw</t>
  </si>
  <si>
    <t>Borsuk, P (corresponding author), Polish Acad Sci, Dept Antarctic Biol, Ustrzycka 10-12, PL-02141 Warsaw, Poland.</t>
  </si>
  <si>
    <t>Spalik, Krzysztof/IQU-3836-2023; Spalik, Krzysztof/X-6669-2019</t>
  </si>
  <si>
    <t>Spalik, Krzysztof/0000-0001-9603-6793; Spalik, Krzysztof/0000-0001-9603-6793; Weglenski, Piotr/0000-0002-7779-1475</t>
  </si>
  <si>
    <t>10.1007/s00300-001-0327-x</t>
  </si>
  <si>
    <t>WOS:000174713200005</t>
  </si>
  <si>
    <t>Duquesne, S; Riddle, MJ</t>
  </si>
  <si>
    <t>Biological monitoring of heavy-metal contamination in coastal waters off Casey Station, Windmill Islands, East Antarctica</t>
  </si>
  <si>
    <t>ASTERIAS-RUBENS ECHINODERMATA; CADMIUM ACCUMULATION; TRACE-METALS; MUSSEL WATCH; MARINE-INVERTEBRATES; BINDING PROTEINS; COPPER; BAY; SEA; CD</t>
  </si>
  <si>
    <t>Heavy-metal concentrations were determined in tissues of different species of benthic invertebrates collected in the Casey region (Australian Antarctic Territory) where an old waste-disposal tip site is a source of contamination. The species studied included the bivalve Laternula elliptica, starfish Notasterias armata, heart urchins Abatus nimrodi and A. ingens and gammaridean amphipod Paramoera walkeri. The specimens were collected at both reference and contaminated locations where lead was the priority element and copper was the next most important in terms of increased concentrations. The strong association between a gradient of contamination and concentrations in all species tested indicates that they are reflecting well the environmental changes, and that they appear as appropriate biological indicators of heavy-metal contamination. Aspects of the biology of species with different functional roles in the marine ecosystem are discussed in relation to their suitability for wider use in Antarctic monitoring programmes. For example, in terms of heavy-metal bioaccumulation, the bivalve appears as the most sensitive species to detect contamination; the starfish provides information on the transfer of metals through the food web while the heart urchin and gammarid give indications of the spatial and temporal patterns of the environmental contamination. The information gathered about processes of contaminant uptake and partitioning among different tissues and species could be used in later studies to investigate the behaviour and the source of contaminants.</t>
  </si>
  <si>
    <t>Univ Queensland, Natl Res Ctr Environm Toxicol, Coopers Plains, Qld 4108, Australia; Australian Antarctic Div, Kingston, Tas 7050, Australia</t>
  </si>
  <si>
    <t>Duquesne, S (corresponding author), Univ W England, Fac Sci Appl, Frenchay Campus,Coldharbour Lane, Bristol BS16 1QY, Avon, England.</t>
  </si>
  <si>
    <t>Duquesne, Sabine/H-5575-2011</t>
  </si>
  <si>
    <t>Duquesne, Sabine/0000-0001-9874-8540</t>
  </si>
  <si>
    <t>10.1007/s00300-001-0328-9</t>
  </si>
  <si>
    <t>WOS:000174713200006</t>
  </si>
  <si>
    <t>Emslie, SD; McDaniel, JD</t>
  </si>
  <si>
    <t>Ade'lie penguin diet and climate change during the middle to late Holocene in northern Marguerite Bay, Antarctic Peninsula</t>
  </si>
  <si>
    <t>RADIOCARBON AGE CALIBRATION; KING-GEORGE ISLAND; MIROUNGA-LEONINA; COLONIES; SQUID</t>
  </si>
  <si>
    <t>We investigated one active and three abandoned Adelie penguin (Pygoscelis adeliae) colonies in northern Marguerite Bay, Antarctic Peninsula, during austral summer 2000. Extinct colonies were located by ground survey on small islands and recognized by concentrations of nest pebbles. The colonies were excavated to recover organic remains from ornithogenic soils. Radiocarbon dates on penguin bone and eggshell provided a 6,000-year occupation history after correction for the marine-carbon reservoir effect, this history was compared to the paleoclimate record (ice cores and marine sediments) to assess patterns in occupation by penguins with episodes of climate change. We quantified prey remains recovered from the sites to examine potential dietary shifts by penguins with climatic change. Two species, Antarctic silverfish (Pleuragramma antarcticum) and squid (Psychroteuthis glacialis), were most commonly represented in the sediments. The data indicate that silverfish may have been exploited more during cool, and squid in warm climatic intervals in the past.</t>
  </si>
  <si>
    <t>Univ N Carolina, Dept Biol Sci, Wilmington, NC 28403 USA</t>
  </si>
  <si>
    <t>University of North Carolina; University of North Carolina Wilmington</t>
  </si>
  <si>
    <t>Univ N Carolina, Dept Biol Sci, Wilmington, NC 28403 USA.</t>
  </si>
  <si>
    <t>emslies@uncwil.edu</t>
  </si>
  <si>
    <t>10.1007/s00300-001-0334-y</t>
  </si>
  <si>
    <t>WOS:000174713200008</t>
  </si>
  <si>
    <t>Davison, W; Franklin, CE</t>
  </si>
  <si>
    <t>The Antarctic nemertean Parborlasia corrugatus:: an example of an extreme oxyconformer</t>
  </si>
  <si>
    <t>The Antarctic nemertean worm, Parborlasia corrugatus, exhibits gigantism, reaching at least 100 g, yet lacks any specialised respiratory organs. The diffusion of oxygen into this worm occurs cutaneously. We examined the metabolic rate of P. corrugatus at -1degreesC in response to decreasing ambient PO2. As the PO2 of the water decreased. so did the metabolic rate of P. corrugatus, indicating that this nemertean worm is an extreme example of an oxyconformer. When the water PO2 decreased below about 120 mmHg, the normally short, round worms became elongated and extremely flattened. This behavioural mechanism would allow for an increase in surface area of the skin, thereby facilitating the diffusion of oxygen.</t>
  </si>
  <si>
    <t>Univ Canterbury, Dept Zool, Christchurch 1, New Zealand; Univ Queensland, Dept Zool &amp; Entomol, Brisbane, Qld 4072, Australia</t>
  </si>
  <si>
    <t>University of Canterbury; University of Queensland</t>
  </si>
  <si>
    <t>Davison, W (corresponding author), Univ Canterbury, Dept Zool, Private Bag 4800, Christchurch 1, New Zealand.</t>
  </si>
  <si>
    <t>Franklin, Craig/G-7343-2012</t>
  </si>
  <si>
    <t>Franklin, Craig/0000-0003-1315-3797</t>
  </si>
  <si>
    <t>10.1007/s00300-001-0341-z</t>
  </si>
  <si>
    <t>WOS:000174713200011</t>
  </si>
  <si>
    <t>Nijampurkar, VN; Rao, DK; Clausen, HB; Kaul, MK; Chaturvedi, A</t>
  </si>
  <si>
    <t>Records of climatic changes and volcanic events in an ice core from Central Dronning Maud Land (East Antarctica) during the past century</t>
  </si>
  <si>
    <t>PROCEEDINGS OF THE INDIAN ACADEMY OF SCIENCES-EARTH AND PLANETARY SCIENCES</t>
  </si>
  <si>
    <t>Antarctica; Electrical Conductivity Measurements (ECM); accumulation rates; climate; Be-10 and Cl-36</t>
  </si>
  <si>
    <t>GREENLAND ICE; CL-36; BE-10; FALLOUT; SOLAR</t>
  </si>
  <si>
    <t>The depth profiles of electrical conductance, delta(18)O, Pb-210 and cosmogenic radio isotopes Be-10 and Cl-36 have been measured in a 30 m ice core from east Antarctica near the Indian station, Dakshin Gangotri. Using Pb-210 and delta(18)O, the mean annual accumulation rates have been calculated to be 20 and 21 cm of ice equivalent per year during the past similar to 150 years. Using these acumulation rates, the volcanic event that occurred in 1815 AD, has been identified based on electrical conductance measurements. Based on delta(18)O measurements, the mean annual surface air temperatures (MASAT) data observed during the last 150 years indicates that the beginning of the 19th century was cooler by about 2degrees C than the recent past and the middle of 18th century. The fallout of cosmogenic radio isotope Be-10 compares reasonably well with those obtained on other stations (73degrees S to 90degrees S) from Antarctica and higher latitudes beyond 77degrees N. The fallout of Cl-36 calculated based on the present work agrees well with the mean global production rate estimated earlier by Lal and Peters (1967). The bomb pulse of Cl-36 observed in Greenland is not observed in the present studies - a result which is puzzling and needs to be studied on neighbouring ice cores from the same region.</t>
  </si>
  <si>
    <t>Phys Res Lab, Ahmedabad 380009, Gujarat, India; Niels Bohr Inst Astron, Dept Geophys, DK-2200 Copenhagen O, Denmark; Geol Survey India, Antarctic Div, Faridabad, India</t>
  </si>
  <si>
    <t>Department of Space (DoS), Government of India; Physical Research Laboratory - India; University of Copenhagen; Niels Bohr Institute; Geological Survey India</t>
  </si>
  <si>
    <t>Nijampurkar, VN (corresponding author), Phys Res Lab, Ahmedabad 380009, Gujarat, India.</t>
  </si>
  <si>
    <t>Clausen, Helene/AAU-8786-2020</t>
  </si>
  <si>
    <t>INDIAN ACADEMY SCIENCES</t>
  </si>
  <si>
    <t>BANGALORE</t>
  </si>
  <si>
    <t>P B 8005 C V RAMAN AVENUE, BANGALORE 560 080, INDIA</t>
  </si>
  <si>
    <t>0253-4126</t>
  </si>
  <si>
    <t>P INDIAN AS-EARTH</t>
  </si>
  <si>
    <t>Proc. Indian Acad. Sci.-Earth Planet. Sci</t>
  </si>
  <si>
    <t>526JZ</t>
  </si>
  <si>
    <t>WOS:000174128500004</t>
  </si>
  <si>
    <t>Rajaram, G; Hanchinal, AN; Kalra, R; Unnikrishnan, K; Jeeva, K; Sridharan, M; Dhar, A</t>
  </si>
  <si>
    <t>Velocity of small-scale auroral ionospheric current systems over Indian Antarctic station Maitri</t>
  </si>
  <si>
    <t>geomagnetic pulsations; mobile auroral current systems; field-aligned currents; Antarctica</t>
  </si>
  <si>
    <t>DRIFTING OMEGA-BANDS; MAGNETOSPHERIC SUBSTORMS; ELECTRIC-FIELDS; SURGES; MODEL; FLOW</t>
  </si>
  <si>
    <t>The Indian Antarctic station Maitri (geog. 70degrees45'S, 11degrees45'E, geom. 66degrees.03S, 53degrees.21E) occupies a sub-auroral location during magnetically quiet conditions (SigmaKp &lt; 10), but attains an auroral position when the auroral oval shifts equatorwards with increasing strength of magnetic disturbance. At the latter times, triangulation with 3 fluxgate magnetometers located at the vertices of a suitable triangle provides a means of monitoring mobile auroral ionospheric current systems over Maitri. The spacing between the magnetometers is typically kept at 75-200 km, keeping in mind the scale-sizes of &amp;SIM; 100 km for these mobile current systems. This work reports the results of two triangulation experiments carried out around Maitri in January 1992 and January 1995, both during Antarctic summer. The velocities estimated for pulsations of the Pc4 and Pc5 type were about 0.59 km/sec in the direction 102&amp;DEG;.7 east of due north, in the first case, and about 1-3 km/sec in the second case in the east-west direction. While several magnetometer arrays exist in the northern auroral regions (e.g., the Alberta array in Canada, the Alaskan array in the U.S. and the IMS Scandinavian array), there is no report in literature of triangulation through arrays in Antarctica, except for a one-day study by Neudegg et al 1995 for ULF pulsations of the Pc1 and Pc2 type. The velocities obtained for the Pi3 type of irregular pulsations over Antarctica in the present study tally well with those obtained for northern auroral locations.</t>
  </si>
  <si>
    <t>Rajaram, G (corresponding author), Indian Inst Geomagnetism, Colaba 400005, Mumbai, India.</t>
  </si>
  <si>
    <t>WOS:000174128500005</t>
  </si>
  <si>
    <t>Rodríguez, E; López-González, PJ</t>
  </si>
  <si>
    <t>A new species of Halcampella (Actiniaria: Halcampoididae) from the eastern Weddell Sea and the Antarctic Peninsula</t>
  </si>
  <si>
    <t>Halcampella; Halcampoididae; Actiniaria; Antarctic Peninsula; Weddell Sea</t>
  </si>
  <si>
    <t>A new species of soft-bottom-dwelling sea anemone of the genus Halcampella is described and illustrated based on 47 specimens collected during the Polarstern cruises ANT XV/3 and ANT XVII/3 to the Antarctic Peninsula and the eastern Weddell Sea. The new Halcampella species is easily distinguishable from its congeners by the number of cycles of mesenteries and tentacles, the cnidae and the geographic distribution. The new species is described and compared to the available type material of the other species of the genus and new cnidae data are given for H, maxima Hertwig, 1888 and H. robusta Carlgren, 1931. According to other authors H. endromitata (Andres, 1881) is considered a nomen dubium and H. maxima is here proposed as the types species of the genus.</t>
  </si>
  <si>
    <t>Univ Sevilla, Fac Biol, Dept Fisiol &amp; Zool, Seville 41012, Spain</t>
  </si>
  <si>
    <t>University of Sevilla</t>
  </si>
  <si>
    <t>Rodríguez, E (corresponding author), Univ Sevilla, Fac Biol, Dept Fisiol &amp; Zool, Reina Mercedes 6, Seville 41012, Spain.</t>
  </si>
  <si>
    <t>Lopez-González, Pablo J./Y-6440-2018</t>
  </si>
  <si>
    <t>Lopez-González, Pablo J./0000-0002-7348-6270</t>
  </si>
  <si>
    <t>10.3989/scimar.2002.66n143</t>
  </si>
  <si>
    <t>532BV</t>
  </si>
  <si>
    <t>Green Published, gold, Green Submitted</t>
  </si>
  <si>
    <t>WOS:000174452500006</t>
  </si>
  <si>
    <t>Davolio, S; Buzzi, A</t>
  </si>
  <si>
    <t>Mechanisms of Antarctic katabatic currents near Terra Nova Bay</t>
  </si>
  <si>
    <t>TELLUS SERIES A-DYNAMIC METEOROLOGY AND OCEANOGRAPHY</t>
  </si>
  <si>
    <t>WIND REGIME; CONFLUENCE ZONE; ROSS SEA; SIMULATION; MODEL; AREA; PRECIPITATION; SCHEME; FIELD; FLOW</t>
  </si>
  <si>
    <t>The evolution of Antarctic katabatic wind in the vicinity of Terra Nova Bay has been studied using a three-dimensional, hydrostatic, limited area model. Realistic simulations of a summer katabatic event, using different horizontal resolutions, have been performed by employing a sequential self-nesting procedure. The high-resolution orography data allow a description of the structure of the main valleys and of the two different flows descending from the broad Reeves Glacier and (with less accuracy) channelled into the much narrower Priestley Glacier valley, respectively. The mechanism of katabatic wind development has been investigated by means of a Lagrangian diagnostic study performed along trajectories flowing down from the above-mentioned glaciers. Heat balance and kinetic energy balance have been evaluated accurately in order to asses the characteristics of the two katabatic currents that may superpose once they reach the Nansen Ice Sheet.</t>
  </si>
  <si>
    <t>CNR, ISAO, I-40129 Bologna, Italy</t>
  </si>
  <si>
    <t>CNR, ISAO, Via Gobetti 101, I-40129 Bologna, Italy.</t>
  </si>
  <si>
    <t>a.buzzi@isao.bo.cnr.it</t>
  </si>
  <si>
    <t>davolio, silvio/C-8425-2017</t>
  </si>
  <si>
    <t>davolio, silvio/0000-0001-8704-1814</t>
  </si>
  <si>
    <t>1600-0870</t>
  </si>
  <si>
    <t>TELLUS A</t>
  </si>
  <si>
    <t>Tellus Ser. A-Dyn. Meteorol. Oceanol.</t>
  </si>
  <si>
    <t>10.1034/j.1600-0870.2002.01290.x</t>
  </si>
  <si>
    <t>536BX</t>
  </si>
  <si>
    <t>WOS:000174681800006</t>
  </si>
  <si>
    <t>Heywood, KJ; Garabato, ACN; Stevens, DP</t>
  </si>
  <si>
    <t>High mixing rates in the abyssal Southern Ocean</t>
  </si>
  <si>
    <t>ANTARCTIC BOTTOM WATER; CIRCULATION; TRANSPORT; VARIABILITY; TOPOGRAPHY; ENERGY; FLUX; FLOW</t>
  </si>
  <si>
    <t>Mixing of water masses from the deep ocean to the layers above can be estimated from considerations of continuity in the global ocean overturning circulation(1-3). But averaged over ocean basins, diffusivity has been observed to be too small(4-12) to account for the global upward flux of water, and high mixing intensities have only been found in the restricted areas close to sills and narrow gaps(10,11,13-15). Here we present observations from the Scotia Sea, a deep ocean basin between the Antarctic peninsula and the tip of South America, showing a high intensity of mixing that is unprecedented over such a large area. Using a budget calculation over the whole basin, we find a diffusivity of (39 +/- 10) x 10(4) m(2) s(-1), averaged over an area of 7 x 10(5) km(2). The Scotia Sea is a basin with a rough topography(16), situated just east of the Drake passage where the strong flow of the Antarctic Circumpolar Current is constricted in width. The high basin-wide mixing intensity in this area of the Southern Ocean may help resolve the question of where the abyssal water masses are mixed towards the surface.</t>
  </si>
  <si>
    <t>Univ E Anglia, Sch Environm Sci, Norwich NR4 7TJ, Norfolk, England.</t>
  </si>
  <si>
    <t>k.heywood@uea.ac.uk</t>
  </si>
  <si>
    <t>Garabato, Alberto Naveira/AAQ-1114-2020; Heywood, Karen/L-1757-2016; Jullion, Loic/B-3304-2011; Stevens, David/F-2509-2010</t>
  </si>
  <si>
    <t>Garabato, Alberto Naveira/0000-0001-6071-605X; Heywood, Karen/0000-0001-9859-0026; Jullion, Loic/0000-0001-6269-6750; Stevens, David/0000-0002-7283-4405</t>
  </si>
  <si>
    <t>FEB 28</t>
  </si>
  <si>
    <t>10.1038/4151011a</t>
  </si>
  <si>
    <t>525MF</t>
  </si>
  <si>
    <t>WOS:000174075000041</t>
  </si>
  <si>
    <t>Dore, J</t>
  </si>
  <si>
    <t>The coldest march - Scott's fatal Antarctic expedition</t>
  </si>
  <si>
    <t>TLS-THE TIMES LITERARY SUPPLEMENT</t>
  </si>
  <si>
    <t>Book Review</t>
  </si>
  <si>
    <t>TIMES SUPPLEMENTS LIMITED</t>
  </si>
  <si>
    <t>MARKET HARBOROUGH</t>
  </si>
  <si>
    <t>TOWER HOUSE, SOVEREIGN PARK, MARKET HARBOROUGH LE87 4JJ, ENGLAND</t>
  </si>
  <si>
    <t>0307-661X</t>
  </si>
  <si>
    <t>1366-7211</t>
  </si>
  <si>
    <t>TLS-TIMES LIT SUPPL</t>
  </si>
  <si>
    <t>TLS-Times Lit. Suppl.</t>
  </si>
  <si>
    <t>FEB 22</t>
  </si>
  <si>
    <t>Humanities, Multidisciplinary</t>
  </si>
  <si>
    <t>Arts &amp; Humanities Citation Index (A&amp;HCI)</t>
  </si>
  <si>
    <t>Arts &amp; Humanities - Other Topics</t>
  </si>
  <si>
    <t>525ME</t>
  </si>
  <si>
    <t>WOS:000174074900004</t>
  </si>
  <si>
    <t>Dierssen, HM; Smith, RC; Vernet, M</t>
  </si>
  <si>
    <t>Glacial meltwater dynamics in coastal waters west of the Antarctic peninsula</t>
  </si>
  <si>
    <t>BIOOPTICAL PROPERTIES; PHYTOPLANKTON BLOOM; CONTINENTAL-SHELF; ICE; PRODUCTIVITY; VARIABILITY; MODELS; IRON; SEA</t>
  </si>
  <si>
    <t>The annual advance and retreat of sea ice has been considered a major physical determinant of spatial and temporal changes in the structure of the Antarctic coastal marine ecosystem. However, the role of glacial meltwater on the hydrography of the Antarctic Peninsula ecosystem has been largely ignored, and the resulting biological effects have only been considered within a few kilometers from shore. Through several lines of evidence collected in conjunction with the Palmer Station Long-Term Ecological Research Project, we show that the freshening and warming of the coastal surface water over the summer months is influenced not solely by sea ice melt, as suggested by the literature, but largely by the influx of glacial meltwater. Moreover, the seasonal variability in the amount and extent of the glacial meltwater plume plays a critical role in the functioning of the biota by influencing the physical dynamics of the water (e.g., water column stratification, nearshore turbidity). From nearly a decade of observations (19911999), the presence of surface meltwater is correlated not only to phytoplankton blooms nearshore, but spatially over 100 km offshore. The amount of meltwater will also have important secondary effects on the ecosystem by influencing the timing of sea ice formation. Because air temperatures are statistically increasing along the Antarctic Peninsula region, the presence of glacial meltwater is likely to become more prevalent in these surface waters and continue to play an ever-increasing role in driving this fragile ecosystem.</t>
  </si>
  <si>
    <t>Calif State Univ, Moss Landing Marine Labs, Moss Landing, CA 95039 USA; Univ Calif Santa Barbara, Inst Computat Earth Syst Sci, Santa Barbara, CA 93106 USA; Univ Calif San Diego, Scripps Inst Oceanog, La Jolla, CA 92093 USA</t>
  </si>
  <si>
    <t>Moss Landing Marine Laboratories; University of California System; University of California Santa Barbara; University of California System; University of California San Diego; Scripps Institution of Oceanography</t>
  </si>
  <si>
    <t>Dierssen, HM (corresponding author), Calif State Univ, Moss Landing Marine Labs, Moss Landing, CA 95039 USA.</t>
  </si>
  <si>
    <t>FEB 19</t>
  </si>
  <si>
    <t>10.1073/pnas.032206999</t>
  </si>
  <si>
    <t>524UK</t>
  </si>
  <si>
    <t>WOS:000174031100010</t>
  </si>
  <si>
    <t>Vallelonga, P; Van de Velde, K; Candelone, JP; Ly, C; Rosman, KJR; Boutron, CF; Morgan, VI; Mackey, DJ</t>
  </si>
  <si>
    <t>Recent advances in measurement of Pb isotopes in polar ice and snow at sub-picogram per gram concentrations using thermal ionisation mass spectrometry</t>
  </si>
  <si>
    <t>ANALYTICA CHIMICA ACTA</t>
  </si>
  <si>
    <t>thermal ionisation mass spectrometry; lead; lead isotopes; ice cores; Antarctica; analytical blank</t>
  </si>
  <si>
    <t>HEAVY-METAL ANALYSIS; GREENLAND SNOW; LEAD ISOTOPES; ANTARCTIC ICE; LAW DOME; POLLUTION; SCALE; CORES; PAST</t>
  </si>
  <si>
    <t>Techniques for Pb measurements have reached the stage where Antarctic ice with sub-picogram per gram concentrations can be reliably analysed for isotopic composition. Here, particular attention has been given to measuring the quantity of Pb added during the decontamination and sample storage stages of the sample preparation process because of their impact on accuracy at low concentrations. These stages, including the use of a stainless steel chisel for the decontamination, contributed similar to5.2 pg to the total sample analysed, amounting to a concentration increase of similar to13 fg g(-1), which is significantly less than expected. Consequently, the corrections to the isotopic ratios and concentration were also smaller. Other contributions to the blank, such as Pb fallout onto critical working areas in the HEPA-filtered air laboratories, were also relatively small as was the amount of Pb leached from preconditioned perfluoroalkoxy (PFA) beakers during sample processing. The ion source contributed typically 89 19 fg to the blank. Although this was relatively,large, its influence depended upon the amount of Pb available for analysis and it had the greatest impact when small volumes of samples with a very low concentration were analysed. A 15 months investigation of the leaching characteristics of Pb from a low-density polyethylene (LDPE) sample storage bottle showed 11 fg cm(-2) per day was released immediately following the initial 2 months cleaning process, but this decreased to immeasurable values after a further 3 months of cleaning. (C) 2002 Elsevier Science B.V. All rights reserved.</t>
  </si>
  <si>
    <t>Curtin Univ Technol, Dept Appl Phys, Perth, WA 6845, Australia; CNRS, Lab Glaciol &amp; Geophys Environm, F-38402 St Martin Dheres, France; Antarctic Cooperat Res Ctr, Australian Antarctic Div, Hobart, Tas 7001, Australia; CSIRO, Marine Res &amp; Antarctic Cooperat Res Ctr, Hobart, Tas 7001, Australia</t>
  </si>
  <si>
    <t>Curtin University; Centre National de la Recherche Scientifique (CNRS); Australian Antarctic Division; Commonwealth Scientific &amp; Industrial Research Organisation (CSIRO)</t>
  </si>
  <si>
    <t>Vallelonga, P (corresponding author), Curtin Univ Technol, Dept Appl Phys, GPO Box U 1987, Perth, WA 6845, Australia.</t>
  </si>
  <si>
    <t>Vallelonga, Paul/I-9650-2016</t>
  </si>
  <si>
    <t>Vallelonga, Paul/0000-0003-1055-7235</t>
  </si>
  <si>
    <t>0003-2670</t>
  </si>
  <si>
    <t>ANAL CHIM ACTA</t>
  </si>
  <si>
    <t>Anal. Chim. Acta</t>
  </si>
  <si>
    <t>FEB 18</t>
  </si>
  <si>
    <t>10.1016/S0003-2670(01)01490-8</t>
  </si>
  <si>
    <t>521AN</t>
  </si>
  <si>
    <t>WOS:000173816200001</t>
  </si>
  <si>
    <t>Foden, J; Song, SH; Turner, S; Elburg, M; Smith, PB; Van der Steldt, B; Van Penglis, D</t>
  </si>
  <si>
    <t>Geochemical evolution of lithospheric mantle beneath SE South Australia</t>
  </si>
  <si>
    <t>CHEMICAL GEOLOGY</t>
  </si>
  <si>
    <t>sub-continental lithospheric mantle; basalts; Tasman line; Ross-Delamerian orogen; mantle enrichment</t>
  </si>
  <si>
    <t>ADELAIDE FOLD BELT; TRACE-ELEMENT; SOUTHEASTERN AUSTRALIA; ISOTOPIC CONSTRAINTS; WESTERN VICTORIA; ION MICROPROBE; BASALTS; PB; PLUME; PETROGENESIS</t>
  </si>
  <si>
    <t>The record of mafic magmatism from the Proterozoic to the Holocene in southern Australia reflects episodic incompatible element enrichment of the sub-continental lithospheric mantle (SCLM) recording periodic interaction of asthenosphere and lithosphere. The composition of Jurassic and Cainozoic mantle derived magmas is strongly influenced by the geochemical impact on the SCLM of events which took place during the Neoproterozoic and Cambrian. These events include rifting, passive margin development and orogenesis. Neoproterozoic to Cambrian basalts are widespread in western New South Wales, South Australia and Tasmania and reflect mantle decompression during extension and rifting of the Australian-East Antarctic Craton during the development of the proto-Pacific passive margin. These basalts fall into two regionally extensive and very different suites: (i) a voluminous suite of tholeiites and (ii) a highly undersaturated alkaline (nephelinite-basanite) series. Both Jurassic kimberlite magmas from the Adelaide Fold Belt and highly undersaturated Quaternary analcimites and basanites from the Mt. Gambier district of S.E. South Australia, have geochemical characteristics like those of the Precambrian-Cambrian alkaline suites. They have high concentrations of large ion lithophile (LIL), rare earth (RE) and high field strength (HFS) elements, and high HFSE/LILE and LREE/HREE ratios with T-DM(Nd) values of 0.5-0.8 Ga. The Jurassic kimberlites appear to sample lithospheric mantle enrichment zones of Late Neoproterozoic to Early Cambrian age. The Quaternary suites result from mixing of contemporary mantle plume components with this old lithospheric enrichment, which is also identified with the occurrence of metasomatic phlogopite, amphibole and apatite in Iherzolite mantle xenoliths from a number of Cainozoic volcanoes in Western Victoria. A very different type of lithospheric mantle enrichment took place during the late stages of the Ross-Delamerian Orogeny. This yielded a crustally contaminated mantle zone that mirrors the Cambro-Ordovician position of that orogen. This zone of contaminated lithospheric mantle interacted with a large plume in the Jurassic to yield the highly anomalous Ferrar-Tasmanian-Kangaroo Island basalts and dolerites. (C) 2002 Elsevier Science B.V. All rights reserved.</t>
  </si>
  <si>
    <t>Univ Adelaide, Dept Geol &amp; Geophys, Adelaide, SA 5005, Australia; Univ Bristol, Dept Earth Sci, Bristol, Avon, England</t>
  </si>
  <si>
    <t>University of Adelaide; University of Bristol</t>
  </si>
  <si>
    <t>Univ Adelaide, Dept Geol &amp; Geophys, Adelaide, SA 5005, Australia.</t>
  </si>
  <si>
    <t>john.foden@adelaide.edu.au</t>
  </si>
  <si>
    <t>; Turner, Simon/0000-0002-6426-6495</t>
  </si>
  <si>
    <t>Elburg, Marlina/0000-0001-7154-1910; Turner, Simon/0000-0002-6426-6495; Foden, John/0000-0003-3564-7253</t>
  </si>
  <si>
    <t>0009-2541</t>
  </si>
  <si>
    <t>1872-6836</t>
  </si>
  <si>
    <t>CHEM GEOL</t>
  </si>
  <si>
    <t>Chem. Geol.</t>
  </si>
  <si>
    <t>FEB 15</t>
  </si>
  <si>
    <t>2-4</t>
  </si>
  <si>
    <t>PII S0009-2541(01)00347-3</t>
  </si>
  <si>
    <t>10.1016/S0009-2541(01)00347-3</t>
  </si>
  <si>
    <t>527LR</t>
  </si>
  <si>
    <t>WOS:000174188000035</t>
  </si>
  <si>
    <t>Bradshaw, CJA; Davis, LS; Purvis, M; Zhou, QQ; Benwell, GL</t>
  </si>
  <si>
    <t>Using artificial neural networks to model the suitability of coastline for breeding by New Zealand fur seals (Arctocephalus forsteri)</t>
  </si>
  <si>
    <t>ECOLOGICAL MODELLING</t>
  </si>
  <si>
    <t>Arctocephalus; artificial neural network; colonization; habitat modelling; inference rules; New Zealand fur seal; pup condition</t>
  </si>
  <si>
    <t>OTAGO PENINSULA; SEASONAL-VARIATION; POPULATION SIZES; MARION ISLAND; SOUTH-GEORGIA; FISH PREY; COMPETITION; ABUNDANCE; GAZELLA; PUPS</t>
  </si>
  <si>
    <t>New Zealand fur seal (Arctocephalus forsteri) numbers and distribution were reduced by human exploitation but the species is now re-colonizing much of its former range. Pinnipeds occupy two different habitat media: the marine (feeding) and terrestrial (breeding) environments. Measures of geographic variation in both these environments can be modelled together to predict coastline suitability for colonization (i.e. potential availability of breeding sites). To avoid problems of non-linear modelling, we used an artificial neural network (ANN) to: (1) predict the suitability of coastline in South Island. New Zealand to support breeding A. forsteri colonies by creating a model using pup condition (measured from 20 breeding colonies during 1996-98), prey distribution and abundance, bathymetry, and the type of coastal substrate; (2) compare the predicted distribution of suitable coastline for colonization from the model to the current distribution of A. forsteri colonies (n = 198 colonies); and (3) using ANN inference rule extraction, determine which factors are the most influential in predicting coastline suitability. ANN model predictions overlapped current distributions of A. forsteri colonies in South Island. Inference rule extraction gave good predictions of colony performance (i.e. the ability to predict observed pup condition); however, they were not consistent among years in terms of the prey species constituting the rules or in the direction of the relationships. Arrow squid and octopus were important model terms in 1996 and 1997, but the direction of their coefficients in the inference rules were opposite between years. Hoki was an important term in 1997 and 1998, but it also varied in direction between years. Terms of secondary importance include the distance from sample colonies to 250 m-, 500 m- and 1000 m-isobaths. Variation in model predictions may result from climatic variation, the constant index of prey availability that was used and the potential for A. forsteri to switch main prey species among year. Resource availability appears to be a good predictor of the potential distribution of A. forsteri colonies, but future models should attempt to incorporate indices of temporal variation in resource availability as well as population density to better predict the colonization process and understand the ecological mechanisms operating within. (C) 2002 Elsevier Science B.V. All rights reserved.</t>
  </si>
  <si>
    <t>Univ Otago, Dept Zool, Dunedin, New Zealand; Univ Otago, Dept Informat Sci, Dunedin, New Zealand</t>
  </si>
  <si>
    <t>University of Otago; University of Otago</t>
  </si>
  <si>
    <t>Bradshaw, CJA (corresponding author), Univ Tasmania, Antarctic Wildlife Res Unit, Sch Zool, GPO Box 252-05, Hobart, Tas 7001, Australia.</t>
  </si>
  <si>
    <t>Bradshaw, Corey J. A./A-1311-2008; Davis, Lloyd/HJI-3533-2023</t>
  </si>
  <si>
    <t>Bradshaw, Corey J. A./0000-0002-5328-7741;</t>
  </si>
  <si>
    <t>0304-3800</t>
  </si>
  <si>
    <t>ECOL MODEL</t>
  </si>
  <si>
    <t>Ecol. Model.</t>
  </si>
  <si>
    <t>PII S0304-3800(01)00425-2</t>
  </si>
  <si>
    <t>10.1016/S0304-3800(01)00425-2</t>
  </si>
  <si>
    <t>537ET</t>
  </si>
  <si>
    <t>WOS:000174746200001</t>
  </si>
  <si>
    <t>Riemenschneider, WK; Sidell, BD</t>
  </si>
  <si>
    <t>Cold acclimation induces proliferation of sarcoplasmic reticulum without increase in Ca2+-ATPase activity in white axial muscle of striped bass (Morone saxatilis)</t>
  </si>
  <si>
    <t>JOURNAL OF EXPERIMENTAL ZOOLOGY</t>
  </si>
  <si>
    <t>THERMAL-ACCLIMATION; TEMPERATURE-ACCLIMATION; MYOFIBRILLAR ATPASE; ANTARCTIC FISHES; SKELETAL-MUSCLE; CARP; DIFFUSION; ULTRASTRUCTURE; THAPSIGARGIN; CA-2+-ATPASE</t>
  </si>
  <si>
    <t>The effects of acclimation of striped bass to cold (5degreesC) and warm (25degreesC) temperatures upon ultrastructural features of white axial skeletal muscle are quantified. Surface density of sarcoplasmic reticulum (SR) increased by almost 30%, and SR volume density increased by about 20% during cold acclimation. Proliferation of SR suggests an increase in available SR surface for re-sequestration of Ca2+ and a decrease in diffusion path length for Ca2+ during cold acclimation. Average cross-sectional areas and cross-sectional perimeters of myofibrils situated in the center of muscle fibers decreased during cold acclimation by approximately 20% and 11%, respectively. Additionally, average major and minor axes of ellipses fit to central myofibrillar cross-sections decreased by approximately 12% and 8%, respectively, during cold acclimation. These measurements define a decrease in average myofibrillar diameter and suggest a decrease in diffusion path length for Ca2+, to and from myofibrillar activation sites. Measurements of peripheral myofibrils that had elongated profiles in cross-sections indicate that maximum profile length of these myofibrils decreases by about 17%. Peripheral myofibrils may break up into smaller myofibrils with more rounded cross-sectional profiles during cold acclimation. SR Ca2+-ATPase of white axial muscle was also measured in unfractionated homogenates and in crude SR-enriched subcellular fractions from cold-and warm-acclimated striped bass. No difference in SR Ca2+-ATPase activity per g wet weight was observed between cold- and warm-acclimated animals. Lack of increase in SR Ca2+-ATPase per g wet weight, despite a significant proliferation of SR, probably results in a decrease in average Ca2+-ATPase pump density within the SR membrane during cold acclimation. Thus, compensation for decreased diffusion coefficient of Ca2+ during cold acclimation appears due to the combined effects of proliferation of SR surface density and a decrease in average myofibrillar diameter. (C) 2002 Wiley-Liss, Inc.</t>
  </si>
  <si>
    <t>Univ Maine, Sch Marine Sci, Orono, ME 04469 USA; NHLBI, Pathol Sect, NIH, Bethesda, MD 20892 USA</t>
  </si>
  <si>
    <t>University of Maine System; University of Maine Orono; National Institutes of Health (NIH) - USA; NIH National Heart Lung &amp; Blood Institute (NHLBI)</t>
  </si>
  <si>
    <t>Univ Maine, Sch Marine Sci, 5751 Murray Hall,Rm 316, Orono, ME 04469 USA.</t>
  </si>
  <si>
    <t>BSidell@maine.edu</t>
  </si>
  <si>
    <t>DIV JOHN WILEY &amp; SONS INC, 111 RIVER ST, HOBOKEN, NJ 07030 USA</t>
  </si>
  <si>
    <t>0022-104X</t>
  </si>
  <si>
    <t>J EXP ZOOL</t>
  </si>
  <si>
    <t>J. Exp. Zool.</t>
  </si>
  <si>
    <t>10.1002/jez.10041</t>
  </si>
  <si>
    <t>520FB</t>
  </si>
  <si>
    <t>WOS:000173769000003</t>
  </si>
  <si>
    <t>Lin, HL; Chen, CJ</t>
  </si>
  <si>
    <t>A late pliocene diatom Ge/Si record from the Southeast Atlantic</t>
  </si>
  <si>
    <t>Ge/Si ratios; diatoms; biogenic opal</t>
  </si>
  <si>
    <t>INORGANIC GERMANIUM; BIOGENIC OPAL; OCEAN; GEOCHEMISTRY; SILICA; FLUXES; (GE/SI)(OPAL); PRODUCTIVITY; CIRCULATION; RIVERS</t>
  </si>
  <si>
    <t>As a result of both culture and sediment core studies, the ratio of germanium (Ge) to silicon (Si) in diatom shells has been proposed as a proxy for monitoring whole-ocean changes in seawater Ge/Si, a ratio affected by changes in continental weathering. However, because of the difficulties of extracting and cleaning diatom frustules from deep-sea sediments, only samples from highly pure diatom oozes in the Antarctic region have been previously analyzed. Here we present data on diatom Ge/Si ratios, (Ge/Si)(opal), for the time interval between 3.1 and 1.9 Ma from a mid-latitude, coastal upwelling area where significant terrigenous sediment input complicated the sample processing and analyses. In general, our (Ge/Si)(opal) values show the same decreasing trend after 2.6 Ma than previously measured in Antarctic sediments (Shemesh et al., 1989. Paleoceanography 4, 221-231), but with a noisier background that may reflect the local imprint of proximal continental input superimposed upon global changes in the ocean reservoir. The time of initiation of large-scale North Hemisphere glaciation at similar to 2.6 Ma is characterized by a declining pattern of diatom Ge/Si ratios, which could have resulted from a global increase in the input of riverine Si due to enhanced silica weathering and/or equatorward (northward ) intrusions of subantarctic waters enriched in silica. High (Ge/Si)(opal) ratios are associated with high opal contents from the same sediment samples and with warm climate as indicated by depleted benthic foraminiferal delta(18)O values from the North and Equatorial Atlantic. Cold periods signified by enriched benthic delta(18)O values, on the contrary, are associated with lower (Ge/Si)(opal) ratios. We interpret diatom Ge/Si values to reflect the prevailing weathering state on the continents, with greater chemical weathering during warm and wet periods of the Pliocene and less during cooler and drier intervals. (C) 2002 Elsevier Science B.V. All rights reserved.</t>
  </si>
  <si>
    <t>Natl Sun Yat Sen Univ, Inst Marine Geol &amp; Chem, Kaohsiung 80424, Taiwan</t>
  </si>
  <si>
    <t>National Sun Yat Sen University</t>
  </si>
  <si>
    <t>Lin, HL (corresponding author), Natl Sun Yat Sen Univ, Inst Marine Geol &amp; Chem, Kaohsiung 80424, Taiwan.</t>
  </si>
  <si>
    <t>hllin@mail.nsysu.edu.tw</t>
  </si>
  <si>
    <t>Lin, Hui-Ling/0000-0003-4271-2535</t>
  </si>
  <si>
    <t>1872-6151</t>
  </si>
  <si>
    <t>PII S0025-3227(01)00211-0</t>
  </si>
  <si>
    <t>10.1016/S0025-3227(01)00211-0</t>
  </si>
  <si>
    <t>533MU</t>
  </si>
  <si>
    <t>WOS:000174534900010</t>
  </si>
  <si>
    <t>Chen, MT; Chang, YP; Chang, CC; Wang, LW; Wang, CH; Yu, EF</t>
  </si>
  <si>
    <t>Late Quaternary sea-surface temperature variations in the southeast Atlantic: a planktic foraminifer faunal record of the past 600 000 yr (IMAGES II MD962085)</t>
  </si>
  <si>
    <t>Benguela Current; planktic foraminifer; Quaternary; sea-surface temperature; southeast Atlantic; transfer function</t>
  </si>
  <si>
    <t>BENGUELA UPWELLING SYSTEM; CONTINENTAL-MARGIN; INDIAN-OCEAN; PANAMA BASIN; SEDIMENTS; WATER; VARIABILITY; THERMOCLINE; PATTERNS; CLIMATE</t>
  </si>
  <si>
    <t>A high-resolution (similar to4-5cm/kyr) giant piston core record (MD962085) retrieved during an IMAGES II-NAUSICAA cruise from the continental slope of the southeast Atlantic Ocean reveals striking variations in planktonic foraminifer faunal abundances and sea-surface temperatures (SST) during the past 600 000 yr. The location and high-quality sedimentary record of the core provide a good opportunity to assess the variability of the Benguela Current system and associated important features of the ocean-climate system in the southeast Atlantic. The planktonic foraminifer faunal abundances of the core are dominated by three assemblages: (1) Neogloboquadrina pachyderma (right coiling)+Neogloboquadrina dutertrei, (2) Globigerina bulloides, and (3) Globorotalia inflata. The assemblage of N. pachyderma (right coiling)+N. dutertrei shows distinctive abundance changes which are nearly in-phase with glacial-interglacial variations. The high abundances of this assemblage are associated with major glacial conditions, possibly representing low SST/high nutrient level conditions in the southwestern Africa margin. In contrast, the G. bulloides and G. inflata assemblages show greater high-frequency abundance change patterns, which are not parallel to the glacial-interglacial changes. These patterns may indicate rapid oceanic frontal movements from the south, and a rapid change in the intensity of the Benguela upwelling system from the east. A single episode of maximum abundances of a polar water species N. pachyderma (left coiling) occurred in the beginning of stage 9 (similar to340-330 kyr). The event of the maximum occurrence of this species shown in this record may indicate instability in the Benguela coastal upwelling, or the Antarctic polar front zone position. A winter season SST estimate using transfer function. techniques for this record shows primarily glacial-interglacial variations. The SST is maximal during the transitions from the major glacial to interglacial stages (Terminations I, II, IV, V), and is associated with the abundance maxima of a warm water species indicator Globigerinoides ruber. Cross-spectral analyses of the SST record and the SPECMAP stack reveal statistically significant concentrations of variance and coherencies in three major orbital frequency bands. The SST precedes changes in the global ice volume in all orbital frequency bands, indicating a dominant southern Hemispheric climate effect over the Benguela Current region in the southeast Atlantic. (C) 2002 Elsevier Science B.V. All rights reserved.</t>
  </si>
  <si>
    <t>Natl Taiwan Ocean Univ, Inst Appl Geophys, Chilung 20224, Taiwan; Acad Sinica, Inst Earth Sci, Nankang, Taiwan; Natl Taiwan Normal Univ, Dept Earth Sci, Taipei, Taiwan</t>
  </si>
  <si>
    <t>National Taiwan Ocean University; Academia Sinica - Taiwan; National Taiwan Normal University</t>
  </si>
  <si>
    <t>Chen, MT (corresponding author), Natl Taiwan Ocean Univ, Inst Appl Geophys, Chilung 20224, Taiwan.</t>
  </si>
  <si>
    <t>Chen, Min-Te/ABF-2935-2020; Chen, Min-Te/AAD-5990-2021; Chang, Yuan-Pin/C-1656-2009</t>
  </si>
  <si>
    <t>Chen, Min-Te/0000-0002-7552-1615; Wang, Chung-Ho/0000-0003-2014-6747</t>
  </si>
  <si>
    <t>PII S0025-3227(01)00212-2</t>
  </si>
  <si>
    <t>10.1016/S0025-3227(01)00212-2</t>
  </si>
  <si>
    <t>WOS:000174534900011</t>
  </si>
  <si>
    <t>Capasso, C; Abugo, O; Tanfani, F; Scire, A; Carginale, V; Scudiero, R; Parisi, E; D'Auria, S</t>
  </si>
  <si>
    <t>Stability and conformational dynamics of metallothioneins from the antarctic fish Notothenia coriiceps and mouse</t>
  </si>
  <si>
    <t>PROTEINS-STRUCTURE FUNCTION AND BIOINFORMATICS</t>
  </si>
  <si>
    <t>infrared spectroscopy; metallothionein; rat; antarctic fish; protein structure</t>
  </si>
  <si>
    <t>TRANSFORM INFRARED-SPECTROSCOPY; CIRCULAR-DICHROISM; PROTEIN; ZINC; CADMIUM; ACCUMULATION; TEMPERATURE; LIVER</t>
  </si>
  <si>
    <t>The structural properties and the conformational dynamics of antarctic fish Notothenia coriiceps and mouse metallothioneins were studied by Fourier-transform infrared and fluorescence spectroscopy. Infrared data revealed that the secondary structure of the two metallothioneins is similar to that of other metallothioneins, most of which lack periodical secondary structure elements such as alpha-helices and beta-sheets. However, the infrared spectra of the N. coriiceps metallothionein indicated the presence of a band, which for its typical position in the spectrum and for its sensitivity to temperature was assigned to alpha-helices whose content resulted in 5% of the total secondary structure of the protein. The short alpha-helix found in N. coriiceps metallothionein showed an onset of denaturation at 30degreesC and a T-m at 48degreesC. The data suggest that in N. coriiceps metallothionein a particular cysteine is involved in the alpha-helix and in the metal-thiolate complex. Moreover, infrared spectra revealed that both proteins investigated possess a structure largely accessible to the solvent. The time-resolved fluorescence data show that N. coriiceps metallothionein possesses a more flexible structure than mouse metallothionein. The spectroscopic data are discussed in terms of the biological function of the metallothioneins. (C) 2002 Wiley-Liss, Inc.</t>
  </si>
  <si>
    <t>CNR, Inst Prot Biochem &amp; Enzymol, I-80131 Naples, Italy; UMAB, Ctr Fluorescence Spect, Baltimore, MD USA; Univ Ancona, Sch Med, Inst Biochem, Ancona, Italy; Univ Naples Federico II, Dept Biol, Naples, Italy</t>
  </si>
  <si>
    <t>Consiglio Nazionale delle Ricerche (CNR); Istituto di Biochimica delle Proteine (IBP-CNR); Marche Polytechnic University; University of Naples Federico II</t>
  </si>
  <si>
    <t>CNR, Inst Prot Biochem &amp; Enzymol, Via P Castellino 111, I-80131 Naples, Italy.</t>
  </si>
  <si>
    <t>dauria@dafne.ibpe.na.cnr.it</t>
  </si>
  <si>
    <t>Tanfani, Fabio/F-1441-2010; d'auria, sabato/C-3565-2015; Scirè, Andrea/A-2961-2010; Scudiero, Rosaria/AAI-2119-2020; CAPASSO, CLEMENTE/P-3522-2016; Carginale, Vincenzo/N-2531-2014</t>
  </si>
  <si>
    <t>d'auria, sabato/0000-0001-9320-494X; CAPASSO, CLEMENTE/0000-0003-3314-2411; Scudiero, Rosaria/0000-0002-8186-9722; Carginale, Vincenzo/0000-0002-1842-494X; Tanfani, Fabio/0000-0001-7685-4692</t>
  </si>
  <si>
    <t>NCRR NIH HHS [RR08119] Funding Source: Medline</t>
  </si>
  <si>
    <t>NCRR NIH HHS(United States Department of Health &amp; Human ServicesNational Institutes of Health (NIH) - USANIH National Center for Research Resources (NCRR))</t>
  </si>
  <si>
    <t>1097-0134</t>
  </si>
  <si>
    <t>10.1002/prot.10050</t>
  </si>
  <si>
    <t>518CE</t>
  </si>
  <si>
    <t>WOS:000173648400003</t>
  </si>
  <si>
    <t>Gille, ST</t>
  </si>
  <si>
    <t>Warming of the Southern Ocean since the 1950s</t>
  </si>
  <si>
    <t>LAGRANGIAN CIRCULATION EXPLORER; CLIMATE-CHANGE; REANALYSIS; RECIRCULATION; TEMPERATURE</t>
  </si>
  <si>
    <t>Autonomous Lagrangian Circulation Explorer floats recorded temperatures in depths between 700 and 1100 meters in the Southern Ocean throughout the 1990s. These temperature records are systematically warmer than earlier hydrographic temperature measurements from the region, suggesting that mid-depth Southern Ocean temperatures have risen 0.17degreesC between the 1950s and the 1980s. This warming is faster than that of the global ocean and is concentrated within the Antarctic Circumpolar Current, where temperature rates of change are comparable to Southern Ocean atmospheric temperature increases.</t>
  </si>
  <si>
    <t>Univ Calif San Diego, Scripps Inst Oceanog, La Jolla, CA 92093 USA; Univ Calif San Diego, Dept Mech &amp; Aerosp Engn, La Jolla, CA 92093 USA</t>
  </si>
  <si>
    <t>University of California System; University of California San Diego; Scripps Institution of Oceanography; University of California System; University of California San Diego</t>
  </si>
  <si>
    <t>Univ Calif San Diego, Scripps Inst Oceanog, La Jolla, CA 92093 USA.</t>
  </si>
  <si>
    <t>sgille@ucsd.edu</t>
  </si>
  <si>
    <t>Gille, Sarah T./B-3171-2012</t>
  </si>
  <si>
    <t>Gille, Sarah/0000-0001-9144-4368</t>
  </si>
  <si>
    <t>NERC [NE/N018095/1] Funding Source: UKRI</t>
  </si>
  <si>
    <t>NERC(UK Research &amp; Innovation (UKRI)Natural Environment Research Council (NERC))</t>
  </si>
  <si>
    <t>10.1126/science.1065863</t>
  </si>
  <si>
    <t>522ZC</t>
  </si>
  <si>
    <t>WOS:000173926000038</t>
  </si>
  <si>
    <t>Barnes, PRF; Wolff, EW; Mulvaney, R; Udisti, R; Castellano, E; Röthlisberger, R; Steffensen, JP</t>
  </si>
  <si>
    <t>Effect of density on electrical conductivity of chemically laden polar ice -: art. no. 2029</t>
  </si>
  <si>
    <t>Antarctic; Dome C; electrical conductivity; ice core; density; chemistry</t>
  </si>
  <si>
    <t>SULFURIC-ACID; DOME-C; CORE; FIRN; STRATIGRAPHY; MODEL</t>
  </si>
  <si>
    <t>[1] Electrical conductivity measurements made using the dielectric profiling technique (DEP) are compared to chemical data from the top 350 m of the Dome C ice core in Antarctica. The chemical data are used to calculate the concentration of the major acidic impurities in the core: sulphuric acid and hydrochloric acid. The conductivity coefficients in solid ice for sulphuric acid (beta(H2SO4)) and hydrochloric acid (beta(HCl)) are found to be 4.9 and 4.5 S m(-1) M-1. These are consistent with previously found values for the acid conductivity coefficient at different sites and suggest that the same conductivity mechanisms are important in all polar ice. A method of rolling regression analysis is used to find the variation of the pure ice conductivity (sigma(infinity) pure) and the conductivity coefficient of sulphuric acid, beta(H2SO4), with depth. Then sigma(infinity) pure and beta(H2SO4) are assessed against changes in core density and hence volume fraction of ice, nu, due to the inclusion of air bubbles in the firn. Looyenga's model for dielectric mixtures applied to conduction in firn broadly predicts the variation observed in sigma(infinity) pure but does not fit well for ice above 110 m. A previous application of the theory of percolation in random lattices is used to model the conductivity coefficient in firn. The coefficient beta(H2SO4) is linked to nu by the power law: beta(H2SO4)(nu) proportional to beta(H2SO4) (1) (nu - nu(c))(t); where nu(c) is a threshold volume fraction below which no conduction can take place and is related to the geometry of the conducting lattice being modeled. The value of the exponent t is also dependent on the structure of the lattice and is here found to be t = 2.5, which is slightly lower than the previously obtained value of t = 2.7 for a structure where each grain has between 14 and 16 nearest neighbors. This model is consistent with the concept of conduction, via liquid H2SO4, taking place at two grain boundaries for firn. The model does not, however, preclude conduction taking place via acid situated at three grain boundaries or in an interconnected vein network at densities above 640 kg m(-3).</t>
  </si>
  <si>
    <t>British Antarctic Survey, NERC, Cambridge CB3 0ET, England; Univ Calabria, Dept Chem, I-87030 Arcavacata Di Rende, Cosenza, Italy; Univ Florence, Dept Publ Hlth &amp; Environm Analyt Chem, I-50121 Florence, Italy; Univ Bern, Inst Phys, CH-3012 Bern, Switzerland; Univ Copenhagen, Dept Geophys, Niels Bohr Inst, Copenhagen, Denmark</t>
  </si>
  <si>
    <t>UK Research &amp; Innovation (UKRI); Natural Environment Research Council (NERC); NERC British Antarctic Survey; University of Calabria; University of Florence; University of Bern; University of Copenhagen; Niels Bohr Institute</t>
  </si>
  <si>
    <t>British Antarctic Survey, NERC, Cambridge CB3 0ET, England.</t>
  </si>
  <si>
    <t>pfrb@bas.ac.uk; e.wolff@bas.ac.uk; r.mulvaney@bas.ac.uk</t>
  </si>
  <si>
    <t>Wolff, Eric W/D-7925-2014; Udisti, Roberto/M-7966-2015; Steffensen, Jorgen Peder/JFS-7831-2023; Barnes, Piers/F-1558-2010; Mulvaney, Robert/K-3929-2012</t>
  </si>
  <si>
    <t>Wolff, Eric W/0000-0002-5914-8531; Udisti, Roberto/0000-0003-4440-8238; Steffensen, Jorgen Peder/0000-0002-5516-1093; Becagli, Silvia/0000-0003-3633-4849; Barnes, Piers/0000-0002-7537-8759; Mulvaney, Robert/0000-0002-5372-8148</t>
  </si>
  <si>
    <t>FEB 10</t>
  </si>
  <si>
    <t>B2</t>
  </si>
  <si>
    <t>10.1029/2000JB000080</t>
  </si>
  <si>
    <t>609MP</t>
  </si>
  <si>
    <t>WOS:000178909800015</t>
  </si>
  <si>
    <t>Song, WB; Wilbert, N</t>
  </si>
  <si>
    <t>Faunistic studies on marine ciliates from the Antarctic benthic area, including descriptions of one epizoic form, 6 new species and, 2 new genera (Protozoa: Ciliophora)</t>
  </si>
  <si>
    <t>ACTA PROTOZOOLOGICA</t>
  </si>
  <si>
    <t>Antarctic benthic ciliates; morphology; new genus; new species; taxonomy</t>
  </si>
  <si>
    <t>SEA-ICE; NOV-SPEC; WEDDELL SEA; CHINA SEA; N-SP; MORPHOLOGY; EUPLOTES; TAXONOMY; SCUTICOCILIATIDA; MORPHOGENESIS</t>
  </si>
  <si>
    <t>The morphology and taxonomy of 22 marine benthic ciliates including 2 new genera and 6 new species from the Antarctic area are described using live observations and silver impregnation techniques: Metacystis sp.. Litonotus antarcticus sp. n.. Dysteria calkinsi Kahl. 1931, Chlamydonella sp.. Orthodonella shenae sp.. n-Aegyriana paroliva gen. n., sp. n. Pleuronema coronation Kent. 1881. Cyclidium varibonneti Song. 2000. Metanophrys antarctica sp. n., Scyphidia sp.. Zoothamnium sp,. Condylostoma remanei Spiegel in Kahl, 1932. Heterostentor coeruleus gen. n.. sp. n., Holosticha diademata (Rees, 1884), Metaurostylopsis rubra sp. n., Uronychia binucleata Young, 1922. Diophrys oligothrix Borror. 1965, Diophrys scutum Dujardin, 1842, Euplotes balteatus (Dujardin, 1841), Aspidisca polypoda (Dujardin, 1841), Aspidisca crenata Fabre-Domerque, 1885 and Aspielisca quadrilineata Kahl, 1932. The diagnosis for the new genus Heterostentor: slightly to strongly contractile. free-living Heterotrichina with elongated body shape: no conspicuous buccal cavity or cytopharynx; oral apparatus Stentor-like, restricted apically around small truncated frontal plate: without peristomial kineties. paroral membrane highly degenerated or absents somatic ciliature with suture on central side. According to the rule of the ICZN (1985), reestablishment for the non-existing genus Aegyriana gen. n. has been made, its diagnosis: dorsoventrally flattened Dysteriidae with tail-shaped podite. oral structure reduced to fragment-like kinetics. postoral kinetics making no gap in median one bald space present subcaudally, which is completely surrounded by kinetosomes and where the podite is positioned: cytopharyngeal rods dominant. Based on the data obtained. the following species are considered as junior synonyms: Euplotes alatus Kahl, 1932: E. quinquecarinatus Gelei, 1951: L magnicirratus Carter. 1972 and E. plicatum Valbonesi et al.. 1997 [possibly conspecific with Eupotes balteatus (Dujardin, 1841) Kahl 1932]: Diophrys magnus Raikov &amp; Kovaleva. 1968 and D. kasmovi Agamaliev, 1971 (junior synonyms of Diophrys scutum Dujardin, 1842). One new combination is suggested: Scyphidia marioni (Van As et al.. 1998) comb. n. (formerly Mantoscyphidia marioni Van As et al.. 1998).</t>
  </si>
  <si>
    <t>Univ Bonn, Inst Zoophysiol, D-53115 Bonn, Germany; Ocean Univ Qingdao, Lab Protozool, Qingdao 266003, Peoples R China</t>
  </si>
  <si>
    <t>University of Bonn; Ocean University of China</t>
  </si>
  <si>
    <t>Wilbert, N (corresponding author), Univ Bonn, Inst Zoophysiol, Poppelsdorfer Schloss, D-53115 Bonn, Germany.</t>
  </si>
  <si>
    <t>NENCKI INST EXPERIMENTAL BIOLOGY</t>
  </si>
  <si>
    <t>UL PASTEURA 3, 02-093 WARSAW, POLAND</t>
  </si>
  <si>
    <t>0065-1583</t>
  </si>
  <si>
    <t>ACTA PROTOZOOL</t>
  </si>
  <si>
    <t>Acta Protozool.</t>
  </si>
  <si>
    <t>FEB</t>
  </si>
  <si>
    <t>527EY</t>
  </si>
  <si>
    <t>WOS:000174174800004</t>
  </si>
  <si>
    <t>Schauer, U; Rudels, B; Jones, EP; Anderson, LG; Muench, RD; Björk, G; Swift, JH; Ivanov, V; Larsson, AM</t>
  </si>
  <si>
    <t>Confluence and redistribution of Atlantic water in the Nansen, Amundsen and Makarov basins</t>
  </si>
  <si>
    <t>oceanography; general; Artic and Antartic oceanography; descriptive and regional oceanography; oceanography; physical; hydrography</t>
  </si>
  <si>
    <t>DENSE BOTTOM WATER; ARCTIC-OCEAN; EURASIAN BASIN; CIRCULATION; INTERMEDIATE; HALOCLINE; EVOLUTION; EDDIES; NORTH; PLUME</t>
  </si>
  <si>
    <t>The waters in the Eurasian Basin are conditioned by the confluence of the boundary flow of warm, saline Fram Strait water and cold low salinity water from the Barents Sea entering through the St. Anna Trough. Hydrographic sections obtained from RV Polarstern during the summer of 1996 (ACSYS 96) across the St. Anna Trough and the Voronin Trough in the northern Kara Sea and across the Nansen, Amundsen and Makarov basins allow for the determination of the water mass properties of the two components and the construction of a qualitative picture of the circulation both within the Eurasian Basin and towards the Canadian Basin. At the confluence north of the Kara Sea, the Fram Strait branch is displaced from the upper to the lower slope and it forms a sharp front to the Barents Sea water at depths between 100m and greater than 1000m. This front disintegrates downstream along the basin margin and the two components are largely mixed before the boundary current reaches the Lomonosov Ridge. Away from the continental slope, the presence of interleaving structures coherent over wide distances is consistent with low lateral shear. The return flow along the Nansen Gakkel Ridge, if present at all, seems to be slow and the cold water below a deep mixed layer there indicates that the Fram Strait Atlantic water was not covered with a halocline for about a decade. Anomalous water mass properties in the interior of the Eurasian Basin can be attributed to isolated lenses rather than to baroclinic flow cores. Eddies have probably detached from the front at the confluence and migrated into the interior of the basin. One deep (2500m) lens of Canadian Basin water, with an anticyclonic eddy signature, must have spilled through a gap of the Lomonosov Ridge. During ACSYS 96, no clear fronts between Eurasian and Canadian intermediate waters, such as those observed further north in 1991 and 1994, were found at the Siberian side of the Lomonosov Ridge. This indicates that the Eurasian Basin waters enter the Canadian Basin not only along the continental slope but they may also cross the Lomonosov Ridge at other topographic irregularities. A decrease in salinity around 1000 m in depth in the Amundsen Basin probably originates from a larger input of fresh water to the Barents Sea. The inherent density changes may affect the flow towards the Canadian Basin.</t>
  </si>
  <si>
    <t>Finnish Inst Marine Res, Helsinki, Finland; Bedford Inst Oceanog, Dartmouth, NS, Canada; Univ Gothenburg, Gothenburg, Sweden; Earth &amp; Space Res, Seattle, WA USA; Univ Calif San Diego, Scripps Inst Oceanog, La Jolla, CA 92093 USA; Arctic &amp; Antarctic Res Inst, St Petersburg, Russia; Alfred Wegener Inst Polar &amp; Marine Res, Bremerhaven, Germany</t>
  </si>
  <si>
    <t>Bedford Institute of Oceanography; University of Gothenburg; University of California System; University of California San Diego; Scripps Institution of Oceanography; Arctic &amp; Antarctic Research Institute; Helmholtz Association; Alfred Wegener Institute, Helmholtz Centre for Polar &amp; Marine Research</t>
  </si>
  <si>
    <t>USN, Postgrad Sch, Monterey, CA 93940 USA.</t>
  </si>
  <si>
    <t>uschauer@awi-bremerhaven.de</t>
  </si>
  <si>
    <t>Ivanov, Vladimir/J-5979-2014; Anderson, Leif G/D-2263-2009; Ivanov, Vladimir/AAX-6830-2020; Larsson, Anna-Maria/JVY-9758-2024</t>
  </si>
  <si>
    <t>Ivanov, Vladimir/0000-0003-2569-6027; Larsson, Anna-Maria/0000-0002-3957-3266</t>
  </si>
  <si>
    <t>COPERNICUS GESELLSCHAFT MBH</t>
  </si>
  <si>
    <t>GOTTINGEN</t>
  </si>
  <si>
    <t>BAHNHOFSALLEE 1E, GOTTINGEN, 37081, GERMANY</t>
  </si>
  <si>
    <t>1432-0576</t>
  </si>
  <si>
    <t>10.5194/angeo-20-257-2002</t>
  </si>
  <si>
    <t>526XB</t>
  </si>
  <si>
    <t>WOS:000174154200012</t>
  </si>
  <si>
    <t>Pietrella, M; Kazimirovsky, ES; De Franceschi, G; Grigioni, P; Scotto, C</t>
  </si>
  <si>
    <t>Could we find any signal of the stratosphere-ionosphere coupling in Antarctica?</t>
  </si>
  <si>
    <t>ANNALS OF GEOPHYSICS</t>
  </si>
  <si>
    <t>EGC 26th General Meeting</t>
  </si>
  <si>
    <t>MAR, 2001</t>
  </si>
  <si>
    <t>NICE, FRANCE</t>
  </si>
  <si>
    <t>polar ionosphere; middle-upper atmosphere interaction</t>
  </si>
  <si>
    <t>An investigation searching for a possible coupling between the lower ionosphere and the middle atmosphere in Antarctica is here performed on the basis of stratospheric vertical temperature profiles and ionospheric absorption data observed at the Antarctic Italian Base of Terra Nova Bay (74.69degreesS, 164.12degreesE) during local summer time. The result obtained by applying a multi-regression analysis and a Superimposed Epoch Analysis (SEA) shows a statistically significant ionosphere-stratosphere interaction. In particular, by selecting stratospheric temperature maxima occurring at different heights as the referring epoch (much less thanzero daymuch greater than) for the SEA approach, the ionospheric absorption is found to show a positive and/or negative trend (several days) around it. The tendency for an increasing/decreasing absorption is obtained for temperature maxima occurring below/above the stratospheric level of about 17-19 km, respectively.</t>
  </si>
  <si>
    <t>Ist Nazl Geofis &amp; Vulcanol, Dept RM, UF, FAA, I-00143 Rome, Italy; Russian Acad Sci, Inst Solar Terr Phys, Irkutsk 664003, Russia; ENEA Casaccia, Santa Maria Di Galeria, RM, Italy</t>
  </si>
  <si>
    <t>Istituto Nazionale Geofisica e Vulcanologia (INGV); Irkutsk Science Centre of the Russian Academy of Sciences; Russian Academy of Sciences; Institute of Solar-Terrestrial Physics of the Siberian Branch of the Russian Academy of Sciences; Italian National Agency New Technical Energy &amp; Sustainable Economics Development</t>
  </si>
  <si>
    <t>Pietrella, M (corresponding author), Ist Nazl Geofis &amp; Vulcanol, Dept RM, UF, FAA, Via Vigna Murata 605, I-00143 Rome, Italy.</t>
  </si>
  <si>
    <t>Grigioni, paolo/AAH-5193-2020</t>
  </si>
  <si>
    <t>EDITRICE COMPOSITORI BOLOGNA</t>
  </si>
  <si>
    <t>SIENA</t>
  </si>
  <si>
    <t>VIA SAN QUIRICO 13/2, I-53100 SIENA, ITALY</t>
  </si>
  <si>
    <t>1593-5213</t>
  </si>
  <si>
    <t>ANN GEOPHYS-ITALY</t>
  </si>
  <si>
    <t>587ZU</t>
  </si>
  <si>
    <t>WOS:000177675600015</t>
  </si>
  <si>
    <t>Romano, V; Cerrone, M; Perrone, L; Pietrella, M</t>
  </si>
  <si>
    <t>Magnetic and solar effects on ionospheric absorption at high latitude</t>
  </si>
  <si>
    <t>ionospheric absorption; solar protons event; magnetic storm; Antarctic region</t>
  </si>
  <si>
    <t>INDEXES</t>
  </si>
  <si>
    <t>Some periods of intense solar events and of strong magnetic storms have been selected and their effects on the ionospheric D region have been investigated on the basis of ionospheric absorption data derived from riometer measurements made at the Italian Antarctic Base of Terra Nova Bay (geographic coordinates: 74.69 S, 164.12 E: geomagnetic coordinates: 77.34S, 279.41 E). It was found that sharp increases in ionospheric absorption are mainly due to solar protons emission with an energy greater than 10 MeV. Moreover, the day to night ratios of the ionospheric absorption are greater than 2 in the case of strong events of energetic protons emitted by the Sun, while during magnetic storms, these ratios range between 1 and 2.</t>
  </si>
  <si>
    <t>Ist Nazl Geofis &amp; Vulcanol, Dept RM2, UF, FAA, I-00143 Rome, Italy</t>
  </si>
  <si>
    <t>Istituto Nazionale Geofisica e Vulcanologia (INGV)</t>
  </si>
  <si>
    <t>Romano, V (corresponding author), Ist Nazl Geofis &amp; Vulcanol, Dept RM2, UF, FAA, Via Vigna Murata 605, I-00143 Rome, Italy.</t>
  </si>
  <si>
    <t>perrone, loredana/I-8087-2014; Romano, Vincenzo/HKV-6552-2023</t>
  </si>
  <si>
    <t>Romano, Vincenzo/0000-0002-7532-4507</t>
  </si>
  <si>
    <t>WOS:000177675600017</t>
  </si>
  <si>
    <t>Williams, MW</t>
  </si>
  <si>
    <t>Editorial - United Nations International Year of the Mountains</t>
  </si>
  <si>
    <t>539EC</t>
  </si>
  <si>
    <t>WOS:000174856400001</t>
  </si>
  <si>
    <t>Hock, R; Johansson, M; Jansson, P; Bärring, L</t>
  </si>
  <si>
    <t>Modeling climate conditions required for glacier formation in cirques of the Rassepautasjtjakka massif, northern Sweden</t>
  </si>
  <si>
    <t>STORGLACIAREN; CIRCULATION; HOLOCENE; SYSTEM; LINE; MELT; PAST</t>
  </si>
  <si>
    <t>Timing of cirque formation and the climate necessary to initiate glaciation are fundamental to the understanding of the landscape of the northern Scandinavian mountains. Empty cirques in the Rassepautasjtjakka massif are located near a glaciated area and thus appear near the glaciation limit. In order to investigate the climate conditions necessary for glacier formation in the cirques, we applied a spatially distributed temperature index melt model. After calibration under present climate conditions, the model was run with different combinations of increased initial winter snow cover and lowered summer air temperatures to assess the climate conditions needed for snow to survive summer and hence form a base for glaciation. Results indicate that a significant increase in precipitation or decrease in summer air temperature or a combination of both is necessary to initiate glaciation. Thus current climate conditions are far from favorable for glaciation. If summer temperature is decreased by 4degreesC or winter snow cover is more than doubled, only 10% of cirque areas remain snow covered, which is considered as a minimum condition for glacier formation. According to climate reconstructions such conditions have not occurred during the Holocene suggesting that the cirques have not been glaciated during this period. Consequently glaciation of the cirques must have occurred during other parts of the glacial cycles.</t>
  </si>
  <si>
    <t>Stockholm Univ, Dept Phys Geog &amp; Quaternary Geol, SE-10691 Stockholm, Sweden; Lund Univ, Dept Phys Geog, SE-22362 Lund, Sweden</t>
  </si>
  <si>
    <t>Stockholm University; Lund University</t>
  </si>
  <si>
    <t>Stockholm Univ, Dept Phys Geog &amp; Quaternary Geol, SE-10691 Stockholm, Sweden.</t>
  </si>
  <si>
    <t>regine.hock@natgeo.su.se</t>
  </si>
  <si>
    <t>Jansson, Peter/B-5761-2012; Hock, Regine/C-6179-2013; Hock, Regine/JTT-4089-2023</t>
  </si>
  <si>
    <t>Jansson, Peter/0000-0002-8832-8806; Hock, Regine/0000-0001-8336-9441</t>
  </si>
  <si>
    <t>10.2307/1552502</t>
  </si>
  <si>
    <t>WOS:000174856400002</t>
  </si>
  <si>
    <t>Sakai, A; Nakawo, M; Fujita, K</t>
  </si>
  <si>
    <t>Distribution characteristics and energy balance of ice cliffs on debris-covered glaciers, Nepal Himalaya</t>
  </si>
  <si>
    <t>LONGWAVE RADIATION; TERRAIN</t>
  </si>
  <si>
    <t>The ablation amount for entire ice cliffs reaches about 2017( of that at the whole debris-covered area, the ablation rate at the ice cliff mainly depends on shortwave radiation, which differs widely with the orientation of all ice cliff. Therefore, the distribution of ice cliffs ill relation to their orientation was observed oil a debris-covered glacier. The south-facing, cliffs were small in area because they have low slope angles and tended to be covered with debris. The north-facing cliffs. oil the other hand, were large in the studied area and maintain a slope angle larger than the repose angle of debris. They, therefore, are stable. Longwave radiation from the debris surface opposite the ice cliffs was larger on the lower portion of ice cliffs than on the upper portion in every azimuth. This difference in longwave radiation maintained a steep slope angle on ice cliff. Shortwave radiation was stronger at the upper portion of ice cliffs than at tire lower portion due to tire local shading effect, causing gentle sloping of ice clift's. This was especially pronounced at cliffs facing to south. Therefore, the dependency of the ice cliff angle in orientation call be explained by tire difference in local radiation between the upper and lower portion of the ice cliff.</t>
  </si>
  <si>
    <t>Nagoya Univ, Grad Sch Environm Studies, Hydrospher Atmosphere Res Ctr, Nagoya, Aichi 4648601, Japan; Res Inst Human &amp; Nature, Sakyo Ku, Kyoto 6068502, Japan</t>
  </si>
  <si>
    <t>Nagoya University</t>
  </si>
  <si>
    <t>Nagoya Univ, Grad Sch Environm Studies, Hydrospher Atmosphere Res Ctr, Nagoya, Aichi 4648601, Japan.</t>
  </si>
  <si>
    <t>shakai@ihas.nagoya-u.ac.jp</t>
  </si>
  <si>
    <t>Sakai, Akiko/M-5413-2013; Fujita, Koji/E-6104-2010</t>
  </si>
  <si>
    <t>Fujita, Koji/0000-0003-3753-4981</t>
  </si>
  <si>
    <t>10.2307/1552503</t>
  </si>
  <si>
    <t>WOS:000174856400003</t>
  </si>
  <si>
    <t>Takeuchi, Y; Kodama, Y; Ishikawa, N</t>
  </si>
  <si>
    <t>The thermal effect of melting snow/ice surface on lower atmospheric temperature</t>
  </si>
  <si>
    <t>HEAT-BALANCE CHARACTERISTICS; SOIL-MOISTURE; COVER; CLIMATE; FORECASTS; GLACIERS</t>
  </si>
  <si>
    <t>To quantify the thermal effect of melting snow/ice surface on the lower atmospheric temperature, of climate index (U) is used. This now index indicates the rate of decrease in the sensitivity of climate (P) over the melting snow/ice surface compared to that over the snow/ice-free surface. beta (degreesC/[Wm(-2)]) is defined as the mean daily air temperature range divided by the Cumulative amount of solar radiation, in this study. Micrometeorological observations were carried out in various snow/ice cover situations, including seasonal snow cover, glaciers, and snowpatchs. The observations showed that when melt is occurring, the sensitivity of climate is reduced for all the cases tested. regardless of their geographical and climatic conditions. Using the sensitivity of climate index (cc), the thermal effect of surface melt is evaluated and compared among the various regions. Results show that the influence of surface melt on the lower atmosphere increases with the size of the snow/ice area.</t>
  </si>
  <si>
    <t>Forestry &amp; Forest Prod Res Inst, Tohkamachi Expt Stn, Tohkamachi 9480013, Japan; Hokkaido Univ, Inst Low Temp Sci, Sapporo, Hokkaido 0600819, Japan</t>
  </si>
  <si>
    <t>Forestry &amp; Forest Products Research Institute - Japan; Hokkaido University</t>
  </si>
  <si>
    <t>Forestry &amp; Forest Prod Res Inst, Tohkamachi Expt Stn, Tohkamachi 9480013, Japan.</t>
  </si>
  <si>
    <t>yukarit@affre.go.jp</t>
  </si>
  <si>
    <t>10.2307/1552504</t>
  </si>
  <si>
    <t>WOS:000174856400004</t>
  </si>
  <si>
    <t>Gajewski, K</t>
  </si>
  <si>
    <t>Modern pollen assemblages in lake sediments from the Canadian arctic</t>
  </si>
  <si>
    <t>NORTH-AMERICA; TREE-LINE; VEGETATION; CLIMATE; TERRITORIES; GREENLAND; SPECTRA; REGION; ISLAND</t>
  </si>
  <si>
    <t>Modern pollen assemblages from lakes in the Canadian high-arctic arid middle-arctic vegetation zones are used to document geographic differences in pollen deposition. There are differences in the pollen percentages of the herbaceous taxa that can be used to discriminate the various regions of the Arctic. High-arctic pollen assemblages have higher Poaceac, while middle-arctic sediments have higher Cyperaceae percentages. Pollen spectra from Banks Island contain higher percentages of Saxifragaceae, Brassicaccac, and Tubuliflorae, while lake sediments from the central Arctic contain more Ranunculaccae and Caryophyllaceae pollen. Salix and Oxyria pollen percentages are relatively high in samples from Ellesmere Island. Pollen from the low-arctic and boreal zones can comprise a significant component of the assemblages in arctic sediments, and this is more important in the southern islands of the Canadian Arctic Archipelago.</t>
  </si>
  <si>
    <t>Univ Ottawa, Lab Paleoclimatol &amp; Climatol, Dept Geog, Ottawa, ON K1N 6N5, Canada; Univ Ottawa, Ottawa Carleton Geosci Ctr, Ottawa, ON K1N 6N5, Canada</t>
  </si>
  <si>
    <t>University of Ottawa; University of Ottawa</t>
  </si>
  <si>
    <t>Gajewski, K (corresponding author), Univ Ottawa, Lab Paleoclimatol &amp; Climatol, Dept Geog, Ottawa, ON K1N 6N5, Canada.</t>
  </si>
  <si>
    <t>Gajewski, Konrad/L-5128-2017</t>
  </si>
  <si>
    <t>10.2307/1552505</t>
  </si>
  <si>
    <t>WOS:000174856400005</t>
  </si>
  <si>
    <t>Benedict, JB</t>
  </si>
  <si>
    <t>Eolian deposition of forest-fire charcoal above tree limit, Colorado Front Range, USA: Potential contamination of AMS radiocarbon samples</t>
  </si>
  <si>
    <t>SUB-ALPINE FOREST; YELLOWSTONE-NATIONAL-PARK; ROCKY MOUNTAINS; FRENCH ALPS; HISTORY; SEDIMENTS; FREQUENCY; HOLOCENE; CLIMATE; RECORDS</t>
  </si>
  <si>
    <t>Shallow soil cores from 56 localities along the crest of the Colorado Front Range were processed by water flotation and wet sieving, then examined. for wood charcoal and charred conifer-needle fragments. Charred particles were largest and most numerous in samples from the subalpine forest. Particle size and abundance decreased abruptly in a narrow zone just above timberline, but showed only slight further decrease at higher elevations. Seventy-one percent of 31 alpine-tundra samples contained megascopic charcoal. Charred particles with geometric mean diameters of I to 2 mm were found on rocky summits above 4000 m and in windswept fellfields as Much as 1.6 km from the nearest forest outlier. Long-distance eolian transport of charred material is attributed to raging crown fires in the subalpine forest, and to the region's characteristically high wind velocities. Accelerator Mass Spectrometry (AMS) radiocarbon dates for charcoal from archaeological features above tree limit in the Front Range should be attributed to human occupation only if particle diameters exceed 3 mm, or independent age evidence strongly supports a cultural origin.</t>
  </si>
  <si>
    <t>Ctr Mt Archeol, Ward, CO 80481 USA</t>
  </si>
  <si>
    <t>Benedict, JB (corresponding author), Ctr Mt Archeol, Ward, CO 80481 USA.</t>
  </si>
  <si>
    <t>10.2307/1552506</t>
  </si>
  <si>
    <t>WOS:000174856400006</t>
  </si>
  <si>
    <t>Munroe, JS</t>
  </si>
  <si>
    <t>Timing of postglacial cirque reoccupation in the northern Uinta Mountains, northeastern Utah, USA</t>
  </si>
  <si>
    <t>COLORADO ROCKY-MOUNTAINS; SIERRA-NEVADA; FRONT RANGE; CLIMATE; VEGETATION</t>
  </si>
  <si>
    <t>Radiocarbon-dated organics from lacustrine cores and colluvial basins, combined with measurements of lichens growing on moraines previously interpreted as Neo-glacial in age, argue that the extent of post-Pleistocene ice in the northern Uinta Mountains was limited. An A-MS date of 12,190 +/- 120 C-14 yr BP on basal organic sediment from a tarn indicates that deglaciation was locally complete by similar to 14 ka BP. Additional radiocarbon ages of similar to10 ka BP from two colluvial basins behind end moraines suggest that these moraines date to the latest Pleistocene. Crosscutting moraines from a fourth site indicate that, an active cirque-glacier system was present at some point after the terminal Pleistocene deglaciaticion. Maximum diameters of Rhizocarpon geographicum lichens on these moraines, however, suggest they may predate Little Ice Age deposits in the Wind River Range and Sierra C Nevada. The convergence of evidence suggests that glaciers in the northern Uintas during the Holocene were extremely limited in extent, and restricted to the middle Neoglacial period. This preliminary conclusion contradicts Some previous interpretations of the upper subalpine.-Colliorphology of the range, Which Postulated widespread post-Pinedale glaciation, and multiple stades of Holocene Neoglaciation.</t>
  </si>
  <si>
    <t>Univ Wisconsin, Dept Geol &amp; Geophys, Madison, WI 53706 USA</t>
  </si>
  <si>
    <t>University of Wisconsin System; University of Wisconsin Madison</t>
  </si>
  <si>
    <t>Munroe, JS (corresponding author), Middlebury Coll, Dept Geol, Bicentennial Hall, Middlebury, VT 05753 USA.</t>
  </si>
  <si>
    <t>10.2307/1552507</t>
  </si>
  <si>
    <t>WOS:000174856400007</t>
  </si>
  <si>
    <t>Klasner, FL; Fagre, DB</t>
  </si>
  <si>
    <t>A half century of change in alpine treeline patterns at Glacier National Park, Montana, USA</t>
  </si>
  <si>
    <t>FOREST-TUNDRA ECOTONE; COLORADO; RESPONSES; DYNAMICS; CLIMATE; SPRUCE; TREES; ZONE</t>
  </si>
  <si>
    <t>Using sequential aerial photography, we identified changes in the spatial distribution of subalpine fir (Abies lasiocarpa) habitat at the alpine treeline ecotone. Six 40-ha study sites in the McDonald Creek drainage of Glacier National Park contained subalpine fir forest,, that graded into alpine tundra. Over a 46-yr period, altitudinal changes in the location of alpine treeline ecotone were not observed. However, over this 46-yr period the area of krummholz. patch-forest. and continuous canopy forest increased by 3.4%, and tree density increased Within existing patches of krummholz and patch-forest. Change in subalpine fir vegetation patterns within 100 m of trails was also compared to areas without trails, Within 100 in of trails, the number of small, discrete krummholz stands increased compared to areas without trails, but there was no significant change in total krummholz area. We used historical terrestrial photography to expand the period (to 70 yr) considered. This photography supported the conclusions that a more abrupt ecotone transition developed from forest to tundra at alpine treeline, that tree density within forested areas increased, and that krummholz became fragmented along trails. This local assessment of fine-grained change in the alpine treeline ecotone provides a comparative base for looking at ecotone change in other mountain regions throughout the world.</t>
  </si>
  <si>
    <t>US Geol Survey, No Rocky Mt Sci Ctr, Glacier Field Stn, W Glacier, MT 59936 USA</t>
  </si>
  <si>
    <t>United States Department of the Interior; United States Geological Survey</t>
  </si>
  <si>
    <t>Klasner, FL (corresponding author), US Geol Survey, No Rocky Mt Sci Ctr, Glacier Field Stn, W Glacier, MT 59936 USA.</t>
  </si>
  <si>
    <t>Klasner, Frederick/0000-0002-7615-495X</t>
  </si>
  <si>
    <t>10.2307/1552508</t>
  </si>
  <si>
    <t>WOS:000174856400008</t>
  </si>
  <si>
    <t>Gansert, D</t>
  </si>
  <si>
    <t>Betula ermanii, a dominant subalpine and subarctic treeline tree species in Japan:: Ecological traits of deciduous tree life in winter</t>
  </si>
  <si>
    <t>SEASONAL PATTERNS; FROST HARDINESS; MT-FUJI; FOREST; RESPIRATION; DORMANCY; BUDBURST; EXCHANGE; CHAMBER; SOUTH</t>
  </si>
  <si>
    <t>Betula ermanii (Japanese mountain birch), a dominant tree species of the subalpine and subarctic treeline ecotones in East Asia, was investigated with respect to frost hardiness, bud phenology, and woody-tissue respiration above and below snow at the treeline on Mt. Fuji, Japan. On the Pacific-facing south slope, the minimum air temperature regime at 2450 m altitude is not harmful to the viability of previous year's shoots and emerging leaves. Betula ermanii will approach its upper distribution limit where the risk of spring frost damage in immature tissues interferes with the need for a minimum length of the growing season, In the cold Pacific winter climate of Japan, susceptibility of bursting buds and dehardened shoots to frost down to -7degreesC late in May is a major determinant for the species' altitudinal distribution limit at 2800 in altitude. It is concluded that two periods of minimum temperature affect the upper distribution of a deciduous broad-leaved tree species in temperate climates: (1) periods of subzero temperature which determine the occurrence of spring frost damage and affect the beginning of the growing season and (2) cool periods during the growing season that affect development and ripening of overwintering plant compartments.</t>
  </si>
  <si>
    <t>Shizuoka Univ, Fac Agr, Inst Silviculture, Shizuoka 4228529, Japan</t>
  </si>
  <si>
    <t>Shizuoka University</t>
  </si>
  <si>
    <t>Gansert, D (corresponding author), Inst Okol Pflanzenphysiol &amp; Geobot, Univ Str 1, D-40225 Dusseldorf, Germany.</t>
  </si>
  <si>
    <t>10.2307/1552509</t>
  </si>
  <si>
    <t>WOS:000174856400009</t>
  </si>
  <si>
    <t>Augustinus, PC</t>
  </si>
  <si>
    <t>Weathering characteristics of the glacial drifts, Bunger Hills, east Antarctica</t>
  </si>
  <si>
    <t>ICE; DEGLACIATION; MAXIMUM; HISTORY; VOLUME; ORIGIN</t>
  </si>
  <si>
    <t>Mapping of glacial drift sheets and examination of striae patterns throughout the Bunger Hills, suggests that the largely ice-free region records the imprint of several phases of ice sheet and outlet glacier expansion during the late Pleistocene. The oldest glacial drift identified in the Bunger Hit's is the most extensive, and displays a weathering status that allows its discrimination from the moderately weathered Figurnoe drift. The latter drift is hummocky and preserves a series of high-level paleolake shorelines at the western end of modern Lake Figurnoe. Within the limits of the Figurnoe drift, the Apendiksi drift was mapped on the basis of its degree of morphological preservation and minimal surface and subsurface drift weathering. Lobes of Apendiksi ice extended up to 8 km west of the modern ice sheet margin in the southern Bunger Hills. Advances of the Edisto Glacier are renamed the Edisto 1 to 3 in order of reducing relative age. The morphostratigraphic evidence suggests that the glacial history of the Bunger Hills is more complex than had previously been recognized, and emphasizes the need for detailed glacial geologic work in this, and other ice-free coastal areas of eastern Antarctica.</t>
  </si>
  <si>
    <t>Univ Auckland, Dept Geog, Auckland 1, New Zealand; Univ Auckland, Dept Geol, Auckland 1, New Zealand</t>
  </si>
  <si>
    <t>University of Auckland; University of Auckland</t>
  </si>
  <si>
    <t>Augustinus, PC (corresponding author), Univ Auckland, Dept Geog, Private Bag 92019, Auckland 1, New Zealand.</t>
  </si>
  <si>
    <t>Augustinus, Paul/B-5125-2011</t>
  </si>
  <si>
    <t>Augustinus, Paul/0000-0002-1391-2151</t>
  </si>
  <si>
    <t>10.2307/1552510</t>
  </si>
  <si>
    <t>WOS:000174856400010</t>
  </si>
  <si>
    <t>Wookey, PA; Bol, RA; Caseldine, CJ; Harkness, DD</t>
  </si>
  <si>
    <t>Surface age, ecosystem development, and C isotope signatures of respired CO2 in an alpine environment, north Iceland</t>
  </si>
  <si>
    <t>SOIL ORGANIC-MATTER; GLACIER FORELAND; CARBON-DIOXIDE; ARCTIC TUNDRA; STORBREEN GLETSCHERVORFELD; PRIMARY SUCCESSION; JOTUNHEIMEN; NORWAY; PLANTS; VEGETATION</t>
  </si>
  <si>
    <t>We studied the late Holocene forcland and adjacent unglaciated terrain of a small cirque glacier system in north Iceland to explore the relationship between soil/ surface age, vegetation and soil evolution, and C isotope signatures of respired, CO,. Field-based sampling of respired CO. from vegetation/soil monoliths across the chronosequence was used as the basis for an analysis of the C-12:C-13:C-14 atom ratios Of CO, using Isotope Ratio Mass Spectrometry (IRMS) and Accelerator Mass Spectrometry (AMS). Residual soil organic matter (SOM) fractions (humic and humin) were also C-14-dated from each of the surfaces, vegetation described, and soil C and N contents analyzed. Our major conclusions are ( 1) that ecosystem respiration in this mid-alpine environment is strongly dominated by young C and is not related to the C-14 age of residual SOM fractions. (2) VC values of respired CO2 by contrast, do vary both with age of Surface arid with absolute respiration rate. but there is no clear indication of any effects mediated by plant species and functional type and/or the degree of reworking of SOM by decomposer organisms and (3) the C-14 dating of residual SOM fractions, together with the soil profile characteristics (including (tephra deposits) and vegetation cover, both suggest some radical disturbance in soil development land SOM formation at Site 1 (the oldest surface studied here), and no cleat, signs of classical succession when comparing Sites 1 to 3. Finally, in the light of these observations. the familiar concept of chronosequences, and the predictable processes of ecosystem development that they often imply, are challenged in a mid-alpine tundra setting where recent climate change and anthropogenic influences (e.g., grazing pressure) are superimposed upon time as an ecological factor.</t>
  </si>
  <si>
    <t>Uppsala Univ, Dept Earth Sci, SE-75236 Uppsala, Sweden; Univ Exeter, Dept Biol Sci, Hatherly Labs, Exeter EX4 4PS, Devon, England; Inst Grassland &amp; Environm Res, Okehampton EX20 2SB, Devon, England; Univ Exeter, Dept Geog, Exeter EX4 4RJ, Devon, England; NERC, Radiocarbon Lab, Glasgow G75 0QF, Lanark, Scotland</t>
  </si>
  <si>
    <t>Uppsala University; University of Exeter; University of Exeter; UK Research &amp; Innovation (UKRI); Natural Environment Research Council (NERC); NERC British Geological Survey</t>
  </si>
  <si>
    <t>Uppsala Univ, Dept Earth Sci, Villavagen 16, SE-75236 Uppsala, Sweden.</t>
  </si>
  <si>
    <t>Philip_Andrew.Wookey@natgeo.uu.se</t>
  </si>
  <si>
    <t>Bol, Roland/H-9324-2013; Wookey, Philip/AAA-6271-2020</t>
  </si>
  <si>
    <t>Bol, Roland/0000-0003-3015-7706; Wookey, Philip/0000-0001-5957-6424</t>
  </si>
  <si>
    <t>10.2307/1552511</t>
  </si>
  <si>
    <t>WOS:000174856400011</t>
  </si>
  <si>
    <t>Margesin, R; Zacke, G; Schinner, F</t>
  </si>
  <si>
    <t>Characterization of heterotrophic microorganisms in alpine glacier cryoconite</t>
  </si>
  <si>
    <t>PSYCHROTROPHIC BACTERIA; SOILS; ENUMERATION; HOLES</t>
  </si>
  <si>
    <t>We surveyed three samples of alpine glacier cryoconite for heterotrophic microbial life. All samples contained bacteria, yeasts, and hyphomycetes. Aerobic heterotrophic bacteria were more numerous than the other two group, and were isolated at all four cultivation temperatures (2 degreesC, 20degreesC, 37degreesC, 55degreesC). Significantly lower numbers of bacteria were able to grow at 2degreesC than at 20degreesC, while the opposite pattern was observed for yeasts. The majority of 66 selected bacterial isolates, able to grow at 2degreesC, were Gram-negative and could be assigned to two genera (Pseudomonas and Sphingonzonas). Among 17 yeast strains, we found three genera (Cryptoccus, Candida, and Rhodotorula). A considerable proportion of microorganisms utilized casein, carboxymethylcellulose (CMC), microorganfonic acid, starch, tributyrin, or diesel oil at 2degreesC. Significantly fewer microorganisms were able to grow on microcrystalline cellulose or keratin, or on aromatic hydrocarbons (naphthalene. phenanthrene, anthracene, or 4-chlorobiphenyl). The utilization of various carbon sources (CMC, starch, tributyrin, and diesel oil) by 14 selected yeast strains was inhibited at cultivation temperatures above 15degreesC.</t>
  </si>
  <si>
    <t>Univ Innsbruck, Inst Microbiol, A-6020 Innsbruck, Austria</t>
  </si>
  <si>
    <t>Margesin, R (corresponding author), Univ Innsbruck, Inst Microbiol, Technikerstr 25, A-6020 Innsbruck, Austria.</t>
  </si>
  <si>
    <t>rosa.margesin@uibk.ac.at</t>
  </si>
  <si>
    <t>10.2307/1552512</t>
  </si>
  <si>
    <t>WOS:000174856400012</t>
  </si>
  <si>
    <t>Trappeniers, K; Van Kerckvoorde, A; Chardez, D; Nijs, I; Beyens, L</t>
  </si>
  <si>
    <t>Testate amoebae assemblages from soils in the Zackenberg area, Northeast Greenland</t>
  </si>
  <si>
    <t>DEVON-ISLAND NWT; AQUATIC HABITATS; COMMUNITIES; RHIZOPODA; PROTOZOA; ECOLOGY; MOSS</t>
  </si>
  <si>
    <t>Testate amoebae communities across five different,vegetation and soil types in a coastal region of Northeast Greenland were studied, in order to understand the distribution of these organisms with respect to habitat properties in this extreme environment. Thirty-eight taxa representing 12 genera were observed in 39 samples, About 43% of the testate amoebae belonged to a single species: Trinema lineare. Difflugia globulus and Centropyxis acrophila var. sphagnicola showed also high relative abundances. Average shelf density/g dry weight was 35,000 +/- 21,000. Hierarchic-agglomerate classification revealed three assemblages. A Difflugia globulus-Centropyxis aerophila var. soil from the Arctagrostis and Vaccinium vegetation type. This assemblage was associated with higher soil moisture content and a thicker active layer. The Celltropyxis aerophila-Trinema complanatum assemblage, that was found in the soils beneath the Cassiope and Salix vegetation, was associated with lower soil moisture content. The assemblage found in soils beneath the Poa vegetation type was characterized by Trinema lineare and Euglypha rotunda and was associated with high organic content of the soils and a shallower active layer. These results, suggest that testate amoebae assemblages are ecologically distinct across short distances in the high arctic soil habitats.</t>
  </si>
  <si>
    <t>Univ Antwerp, RUCA, Dept Biol, Polar Ecol Limnol &amp; Paleobiol Unit, B-2020 Antwerp, Belgium; Univ Antwerp, UIA, Lab Plant Ecol, Dept Biol, B-2610 Antwerp, Belgium</t>
  </si>
  <si>
    <t>University of Antwerp; University of Antwerp</t>
  </si>
  <si>
    <t>Univ Antwerp, RUCA, Dept Biol, Polar Ecol Limnol &amp; Paleobiol Unit, Groenenborgerlaan 171, B-2020 Antwerp, Belgium.</t>
  </si>
  <si>
    <t>andker@ruca.ua.ac.be</t>
  </si>
  <si>
    <t>Van Kerckvoorde, Andy/0000-0002-3749-8346; Nijs, Ivan/0000-0003-3111-680X</t>
  </si>
  <si>
    <t>10.2307/1552513</t>
  </si>
  <si>
    <t>WOS:000174856400013</t>
  </si>
  <si>
    <t>Michalet, R; Gandoy, C; Joud, D; Pagès, JP; Choler, P</t>
  </si>
  <si>
    <t>Plant community composition and biomass on calcareous and siliceous substrates in the northern French Alps:: Comparative effects of soil chemistry and water status</t>
  </si>
  <si>
    <t>CANONICAL CORRESPONDENCE-ANALYSIS; SPECIES-RICHNESS; RHODODENDRON-FERRUGINEUM; MINERAL-NUTRITION; SEEDLING GROWTH; WHITE MOUNTAINS; NIWOT RIDGE; ABIES-ALBA; VEGETATION; RESPONSES</t>
  </si>
  <si>
    <t>Floristic differences between alpine communities on calcareous and siliceous rocks have been mainly attributed to soil chemical properties in the European Alps. In contrast. water availability arid temperature. factors that correlate with calcareous and siliceous substrates, have received more attention in other mountain ranges. To compare the relative importance of soil chemical versus physical factors for explaining differences in floristic composition between Communities from calcareous and siliceous rocks, we conducted a fine-scale correlative study in the northern French Alps, in which the effects of' topographic variations were compared on dolomitic limestone (calcareous) and gneiss (siliceous). We analyzed 192 plots with correspondence analysis (CA) and canonical correspondence analysis (CCA) using a matrix of 20 environmental variables including snow melt dates and water availability. We also measured aboveground biomass and available nitrogen and phosphorus for a subset of' the plots, Species composition, aboveground biomass, and species richness were highly correlated With Substrate type. However water availability. not substrate chemistry, appeared to drive differences in community composition, biomass, and richness, Siliceous substrates appeared to be more mesic because of' the water supplied at the Subsurface level. Conversely calcareous soils were drier, probably because of' the higher porosity of the rock.</t>
  </si>
  <si>
    <t>Univ Grenoble 1, Ctr Biol Alpine, Lab Ecosyst &amp; Changements Environm, F-38041 Grenoble, France; Univ Grenoble 1, Ctr Biol Alpine, Stn Alpine Lautaret, F-38041 Grenoble, France</t>
  </si>
  <si>
    <t>Communaute Universite Grenoble Alpes; Universite Grenoble Alpes (UGA); Communaute Universite Grenoble Alpes; Universite Grenoble Alpes (UGA)</t>
  </si>
  <si>
    <t>Univ Grenoble 1, Ctr Biol Alpine, Lab Ecosyst &amp; Changements Environm, BP 53X, F-38041 Grenoble, France.</t>
  </si>
  <si>
    <t>richard.michalet@ujf-grenoble.fr</t>
  </si>
  <si>
    <t>Choler, Philippe/A-7270-2008</t>
  </si>
  <si>
    <t>Choler, Philippe/0000-0002-9062-2721</t>
  </si>
  <si>
    <t>10.2307/1552514</t>
  </si>
  <si>
    <t>WOS:000174856400014</t>
  </si>
  <si>
    <t>Aristarain, AJ; Delmas, RJ</t>
  </si>
  <si>
    <t>Snow chemistry measurements on James Ross Island (Antarctic Peninsula) showing sea-salt aerosol modifications</t>
  </si>
  <si>
    <t>Antarctica; sea-salt; aerosol; fractionation; hydrogen chloride; snow</t>
  </si>
  <si>
    <t>MARINE BOUNDARY-LAYER; ICE CORES; PARTICLES; SULFATE; STATION; REGIONS; SHELF</t>
  </si>
  <si>
    <t>The fractionation of atmospheric sea-salt has been investigated by glaciochemical analysis of the sea-salt deposited on the snow covering the small ice cap of James Ross Island, Antarctic Peninsula, at an elevation of 1640 m. The data show that, generally, but not always, the sea-salt deposited at this location most likely originates directly from seawater, as is the case at lower latitudes. It is found that the original chemical composition of the sea-salt aerosol is significantly modified, in particular by the reaction of sea-salt particles in the atmosphere with acid species. A ternary diagram (sodium, chloride, sulfate) is used to enlighten the involved modification processes. The study points out the frequent formation of HCl in the regional atmosphere. (C) 2002 Elsevier Science Ltd. All rights reserved.</t>
  </si>
  <si>
    <t>CNRS, Lab Glaciol &amp; Geophys Environm, F-38402 St Martin Dheres, France; Inst Antart Argentino, Lab Estratigrafia Glaciar &amp; Geoquim Nieve, RA-5500 Mendoza, Argentina; Consejo Nacl Invest Cient &amp; Tecn, CRICYT, RA-5500 Mendoza, Argentina</t>
  </si>
  <si>
    <t>Centre National de la Recherche Scientifique (CNRS); Instituto Antartico Argentino; Consejo Nacional de Investigaciones Cientificas y Tecnicas (CONICET)</t>
  </si>
  <si>
    <t>Delmas, RJ (corresponding author), CNRS, Lab Glaciol &amp; Geophys Environm, BP 96, F-38402 St Martin Dheres, France.</t>
  </si>
  <si>
    <t>10.1016/S1352-2310(01)00362-4</t>
  </si>
  <si>
    <t>520YP</t>
  </si>
  <si>
    <t>WOS:000173811600015</t>
  </si>
  <si>
    <t>Yamashita, Y; Nakamura, N; Omiya, K; Nishikawa, J; Kawahara, H; Obata, H</t>
  </si>
  <si>
    <t>Identification of an antifreeze lipoprotein from Moraxella sp of Antarctic origin</t>
  </si>
  <si>
    <t>BIOSCIENCE BIOTECHNOLOGY AND BIOCHEMISTRY</t>
  </si>
  <si>
    <t>antifreeze protein; Antarctica; Moraxella</t>
  </si>
  <si>
    <t>PSEUDOMONAS-PUTIDA GR12-2; BRANHAMELLA-CATARRHALIS; LOW-TEMPERATURE; COLD SHOCK; PROTEIN; NUCLEATION; ADAPTATION; BACTERIUM; PRECURSOR; SURVIVAL</t>
  </si>
  <si>
    <t>We found six bacteria capable of producing antifreeze protein (AFP) from Ross Island, Antarctica. Among these AFP-producing bacteria, strain No. 82 had the highest antifreeze activity and was identified as Moraxella sp. The optimum temperature and pH for the production of AFP were 5degreesC and 7.0, respectively. After partially purifying the AFP from the culture supernatant using 60% saturation of ammonium sulfate, only the 52-kDa protein band (100 mug/ml) which eluted from SDS-PAGE indicated antifreeze activity by the formation of hexagonal crystals. Furthermore, we confirmed that this AFP was a lipoprotein by the lipid stain test and treatment with some enzymes and that it had no ice-nucleating activity. Also, the N-terminal amino acid sequence of this AFP had high similarity with that of outer membrane proteins from Moraxella (Branhamella) catarrhalis. This is the first report of AFP-producing bacteria in Antarctica and an antifreeze lipoprotein (AFLP) from Moraxella sp.</t>
  </si>
  <si>
    <t>Kansai Univ, Fac Engn, Dept Biotechnol, Suita, Osaka 5648680, Japan; Tokyo Univ Sci, Fac Sci &amp; Technol, Dept Appl Biol Sci, Noda, Chiba 2788510, Japan</t>
  </si>
  <si>
    <t>Kansai University; Tokyo University of Science</t>
  </si>
  <si>
    <t>Kansai Univ, Fac Engn, Dept Biotechnol, 3-3-35 Yamate Cho, Suita, Osaka 5648680, Japan.</t>
  </si>
  <si>
    <t>gm9d606@ipcku.kansai-u.ac.jp</t>
  </si>
  <si>
    <t>Nishikawa, Jun/AAE-5355-2020</t>
  </si>
  <si>
    <t>0916-8451</t>
  </si>
  <si>
    <t>1347-6947</t>
  </si>
  <si>
    <t>BIOSCI BIOTECH BIOCH</t>
  </si>
  <si>
    <t>Biosci. Biotechnol. Biochem.</t>
  </si>
  <si>
    <t>10.1271/bbb.66.239</t>
  </si>
  <si>
    <t>Biochemistry &amp; Molecular Biology; Biotechnology &amp; Applied Microbiology; Chemistry, Applied; Food Science &amp; Technology</t>
  </si>
  <si>
    <t>Biochemistry &amp; Molecular Biology; Biotechnology &amp; Applied Microbiology; Chemistry; Food Science &amp; Technology</t>
  </si>
  <si>
    <t>526VM</t>
  </si>
  <si>
    <t>WOS:000174150400003</t>
  </si>
  <si>
    <t>Hiriart, VP; Greenberg, BM; Guildford, SJ; Smith, REH</t>
  </si>
  <si>
    <t>Effects of ultraviolet radiation on rates and size distribution of primary production by Lake Erie phytoplankton</t>
  </si>
  <si>
    <t>BIOLOGICAL WEIGHTING FUNCTION; UV-ABSORBING COMPOUNDS; B RADIATION; MARINE-PHYTOPLANKTON; ANTARCTIC PHYTOPLANKTON; EXTRACELLULAR RELEASE; SPECIES COMPOSITION; ORGANIC-MATTER; GEORGIAN BAY; SHORT-TERM</t>
  </si>
  <si>
    <t>The impact of natural solar ultraviolet radiation (UVR), particularly UVB (297-320 nm), on phytoplankton primary production in Lake Erie was investigated during the spring and summer of 1997. Radiocarbon incorporation and size-selective filtration was used to trace total production and its distribution among particulate and dissolved pools. On average, 1-h exposures produced half the UVB-dependent inhibition of total production realized in 8-h exposures, indicating rapid kinetics of photoinhibition. Cumulative UVB-dependent photoinhibition averaged 36% in 8-h simulated surface exposures. The efficiency of photoinhibition was greater for N-deficient than N-replete communities, but was not related to phytoplankton light history, P limitation, or the dominant genera. The proportion of recently fixed carbon occurring in the dissolved pool after 8-h exposures was significantly greater in higher-UVB treatments, whereas the share in picoplankton (&lt;2 mum) was significantly lower. Significant UVB-dependent inhibition of total production was limited on average to relatively severe exposures, but the rapid kinetics of inhibition and the apparent effects on the allocation of carbon suggest it may be important to the lake's food web. Differences in optical properties and thermal stratification patterns suggested that the relatively turbid west basin was potentially more susceptible to UVR photoinhibition than the more transparent east or central basins.</t>
  </si>
  <si>
    <t>Univ Waterloo, Dept Biol, Waterloo, ON N2L 3G1, Canada</t>
  </si>
  <si>
    <t>University of Waterloo</t>
  </si>
  <si>
    <t>Univ Waterloo, Dept Biol, Waterloo, ON N2L 3G1, Canada.</t>
  </si>
  <si>
    <t>vphiriar@sciborg.uwaterloo.ca</t>
  </si>
  <si>
    <t>Smith, Ralph E.H./F-3655-2010</t>
  </si>
  <si>
    <t>10.1139/F01-212</t>
  </si>
  <si>
    <t>530AW</t>
  </si>
  <si>
    <t>WOS:000174334300013</t>
  </si>
  <si>
    <t>Meissner, KJ; Gerdes, R</t>
  </si>
  <si>
    <t>Coupled climate modelling of ocean circulation changes during ice age inception</t>
  </si>
  <si>
    <t>LAST GLACIAL MAXIMUM; ATLANTIC DEEP-WATER; ANTARCTIC CIRCUMPOLAR CURRENT; NORTH-ATLANTIC; THERMOHALINE CIRCULATION; GENERAL-CIRCULATION; SEA-ICE; INTERGLACIAL PERIOD; SURFACE-TEMPERATURE; ADVECTION SCHEMES</t>
  </si>
  <si>
    <t>Freshening of high latitude surface waters can change the large-scale oceanic transport of heat and salt, Consequently, atmospheric and sea ice perturbations over the deep water production sites excite a large-scale response establishing an oceanic teleconnection with time scales of years to centuries. To study these feedbacks, a coupled atmosphere-ocean-sea ice model consisting of a two dimensional atmospheric energy and moisture balance model (EMBM) coupled to a thermodynamic sea ice model and an ocean general circulation model is utilised. The coupled model reproduces many aspects of the present oceanic circulation. We also investigate the climate impact of changes in fresh water balance during an ice age initiation. In this experiment part of the precipitation over continents is stored within continental ice sheets. During the buildup of ice sheets the oceanic stratification in the North Atlantic is weakened by a reduced continental run-off leading to ail enhanced thermohaline circulation. Under these conditions salinity is redistributed such that deep water is more saline than under present conditions. Once the ice sheets built up, we simulate ail ice age climate without net fresh water storage on the continents. In this case the coupled model reproduces the shallow and weak overturning cell, an ice edge advance insulating the upper ocean, and many other aspects of the glacial circulation.</t>
  </si>
  <si>
    <t>Meissner, KJ (corresponding author), Univ Victoria, Sch Earth &amp; Ocean Sci, POB 3055,Stn CSC, Victoria, BC V8W 3P6, Canada.</t>
  </si>
  <si>
    <t>Meissner, Katrin/0000-0002-0716-7415</t>
  </si>
  <si>
    <t>10.1007/s00382-001-0192-x</t>
  </si>
  <si>
    <t>536AN</t>
  </si>
  <si>
    <t>WOS:000174678700001</t>
  </si>
  <si>
    <t>Schnadt, C; Dameris, M; Ponater, M; Hein, R; Grewe, V; Steil, B</t>
  </si>
  <si>
    <t>Interaction of atmospheric chemistry and climate and its impact on stratospheric ozone</t>
  </si>
  <si>
    <t>GENERAL-CIRCULATION MODEL; MIDDLE ATMOSPHERE; NORTHERN-HEMISPHERE; CARBON-DIOXIDE; POLAR VORTEX; TEMPERATURE; SENSITIVITY; TRENDS; CO2; PARAMETERIZATION</t>
  </si>
  <si>
    <t>The interactively coupled chemistry-climate model ECHAM4.L39(DLR)/CHEM is employed in sensitivity calculations to investigate feedback mechanisms of dynamic, chemical, and radiative processes. Two multi-year model simulations are carried out, which represent recent atmospheric conditions. It is shown that the model is able to reproduce observed features and trends with respect to dynamics and chemistry of the troposphere and lower stratosphere. in polar regions it is demonstrated that an increase persistence of the winter vortices is mainly due to enhanced greenhouse gas mixing ratios and to reduced ozone concentration in the lower stratosphere, An additional sensitivity simulation is investigated, concerning a possible future development of the chemical composition of the atmosphere and climate. The model results in the Southern Hemisphere indicate that the adopted further increase of greenhouse gas mixing ratios leads to an intensified radiative cooling in the lower stratosphere. Therefore, Antarctic ozone depletion slightly increases due to a larger PSC activity, although stratospheric chlorine is reduced. Interestingly, the behavior in the Northern Hemisphere is different. During winter, an enhanced activity of planetary waves yields a more disturbed stratospheric vortex. This dynamical heating compensates the additional radiative cooling due to enhanced greenhouse gas concentrations in the polar region. In connection with reduced stratospheric chlorine loading, the ozone layer clearly recovers.</t>
  </si>
  <si>
    <t>DLR, Inst Atmospher Phys, D-82230 Wessling, Germany; Max Planck Inst Chem, Abt Luftchem, D-55020 Mainz, Germany</t>
  </si>
  <si>
    <t>DLR, Inst Atmospher Phys, Oberpfaffenhofen, D-82230 Wessling, Germany.</t>
  </si>
  <si>
    <t>martin.dameris@dlr.de</t>
  </si>
  <si>
    <t>Grewe, Volker/JCE-0830-2023; Ponater, Michael/AAQ-4907-2020; Grewe, Volker/A-6147-2011</t>
  </si>
  <si>
    <t>Grewe, Volker/0000-0002-8012-6783; Dameris, Martin/0000-0001-6700-0628; Schnadt Poberaj, Christina/0009-0007-6283-1044; Ponater, Michael/0000-0002-9771-4733</t>
  </si>
  <si>
    <t>10.1007/s00382-001-0190-z</t>
  </si>
  <si>
    <t>WOS:000174678700004</t>
  </si>
  <si>
    <t>Carnell, RE; Senior, CA</t>
  </si>
  <si>
    <t>An investigation into the mechanisms of changes in mid-latitude mean sea level pressure as greenhouse gases are increased</t>
  </si>
  <si>
    <t>NUMERICAL EXPERIMENT; GENERAL-CIRCULATION; SOUTHERN-HEMISPHERE; SULFATE AEROSOLS; ANTARCTIC WINTER; NORTH-ATLANTIC; CLIMATE MODEL; STORM-TRACKS; ICE EXTENTS; SENSITIVITY</t>
  </si>
  <si>
    <t>When greenhouse gases are increased in coupled GCM experiments there is both a direct effect and an indirect effect due to changes in the surface conditions. In this study we carry out experiments with a perpetual winter atmosphere only model in order to investigate the influence of changes to the surface conditions (sea surface temperatures, sea-ice and snow amount) on the Northern Hemisphere winter mid-latitude mean sea level pressure response. The surface conditions for the Perpetual winter model experiments are prescribed from time averages of the HadCM2 control and greenhouse gas experiments. Forcing the perpetual winter model with the HadCM2 greenhouse gas surface conditions produces a negative mean sea level pressure (MSLP) response across both Northern Hemisphere ocean basins, as was found in the coupled model HadCM2 experiment. Additional PW model experiments show that the sea surface temperature forcing from the HadCM2 greenhouse gas experiment dominates the snow and soil moisture content forcings. The sea-ice forcing from the HadCM2 greenhouse gas experiment reduces MSLP at high latitudes. In the north Pacific region MSLP decreases when the global mean warming is applied to the sea surface temperature forcing field at all open sea points. In the north Atlantic region the increased tropics to mid-latitude meridional sea surface temperature gradient is required for MSLP to decrease. These experiments show that the MSLP response in the Northern Hemisphere mid-latitude storm track regions is sensitive to the non-local sea surface temperature anomaly pattern.</t>
  </si>
  <si>
    <t>Hadley Ctr Climate Predict &amp; Res, Met Off, Bracknell RG12 2SY, Berks, England</t>
  </si>
  <si>
    <t>Met Office - UK; Hadley Centre</t>
  </si>
  <si>
    <t>Carnell, RE (corresponding author), Hadley Ctr Climate Predict &amp; Res, Met Off, London Rd, Bracknell RG12 2SY, Berks, England.</t>
  </si>
  <si>
    <t>Senior, Catherine/AAA-3126-2022</t>
  </si>
  <si>
    <t>Senior, Catherine/0000-0002-4124-0612</t>
  </si>
  <si>
    <t>10.1007/s00382-001-0197-5</t>
  </si>
  <si>
    <t>WOS:000174678700006</t>
  </si>
  <si>
    <t>Smith, VR</t>
  </si>
  <si>
    <t>Climate change in the sub-Antarctic: An illustration from Marion Island</t>
  </si>
  <si>
    <t>CLIMATIC CHANGE</t>
  </si>
  <si>
    <t>PRINCE-EDWARD-ISLANDS; CURCULIONIDAE; COLEOPTERA; TOLERANCE; HABITAT; LIMITS; MICE</t>
  </si>
  <si>
    <t>The oceanic climate of Marion Island (sub-Antarctic; 47degrees S, 38degrees E) is exceptionally thermally-stable, yet between 1969 and 1999 annual mean surface air temperature at the island increased by 1.2 degreesC. Warming has occurred in all months excepting June. Annual precipitation decreased since the mid 1960s, so that the 1990s was the driest of the five decades that precipitation has been measured at the island. All months excepting October have become drier. The interannual variability in annual total sunshine hours was large, and irregular, but a significant proportion of that variability could be ascribed to an average increase of 3.3 hours each year between 1951 and 1999. Hours of sunshine increased for all months in that period. It is argued that the Antarctic region has not taken its rightful place in studies of the biological and ecological effects of climate change and that sub-Antarctic islands, especially, have much to offer in this field. Climatic change will directly affect the indigenous biota sub-Antarctic islands. An even greater threat is that a warmer climate will increase the ease with which the islands can be invaded by alien species and examples are given of how climatic change and invasive organisms influence the biota and ecology of Marion Island.</t>
  </si>
  <si>
    <t>Univ Stellenbosch, Dept Bot, ZA-7602 Matieland, South Africa</t>
  </si>
  <si>
    <t>Smith, VR (corresponding author), Univ Stellenbosch, Dept Bot, Private BagX1, ZA-7602 Matieland, South Africa.</t>
  </si>
  <si>
    <t>0165-0009</t>
  </si>
  <si>
    <t>Clim. Change</t>
  </si>
  <si>
    <t>10.1023/A:1013718617277</t>
  </si>
  <si>
    <t>510KG</t>
  </si>
  <si>
    <t>WOS:000173206800006</t>
  </si>
  <si>
    <t>Guynn, S; Dowd, F; Petzel, D</t>
  </si>
  <si>
    <t>Characterization of gill Na/K-ATPase activity and ouabain binding in Antarctic and New Zealand nototheniid fishes</t>
  </si>
  <si>
    <t>Antarctic; Na/K-ATPase; Notothenia angustata; osmolality; ouabain; Trematomous bernacchii; temperature acclimation; gill</t>
  </si>
  <si>
    <t>NA+-K+-ATPASE; FUNDULUS-HETEROCLITUS; IONIC REGULATION; ALPHA-SUBUNITS; SODIUM-PUMP; TEMPERATURE; STIMULATION; ANGUILLA; EEL; EXPRESSION</t>
  </si>
  <si>
    <t>The effects of thermal acclimation in two Notothemid species, the stenothermal Antarctic Trematomous bernacchii and the eurythermal New Zealand Notothenia angustata, were investigated. Serum osmolality, gill Na/K-ATPase activity, sodium pump density and ouabain affinity were determined. Both fish were acclimated at their upper and lower viable thermal temperatures. Warm acclimation (+4degreesC) of the T. bernacchii significantly decreased their serum osmolality from 550 to 450 mOsm/kg compared to cold-acclimation (-1.5degreesC) and this was accompanied by a two-fold increase in gill Na/K-ATPase activity. Warm-acclimation (+14degreesC) of N. angustata did not significantly change their serum osmolality from 330 mOsm/kg or gill Na/K-ATPase activity compared to the cold-acclimated (+4degreesC) N. angustata. Using [H-3]ouabain binding techniques, the B-max and K-d values of gill Na/K-ATPase enzymes were determined. No difference in the B-max or K-d of the warm-acclimated T. bernacchii accounted for the increase in Na/K-ATPase activity. We conclude that the change in gill Na/K-ATPase activity in the warm-acclimated T. bernacchii is not mediated by an increase in the number of enzyme sites and is not reflected in a change in ouabain affinity for Na/K-ATPase. (C) 2002 Elsevier Science Inc. All rights reserved.</t>
  </si>
  <si>
    <t>Creighton Univ, Sch Med, Dept Biomed Sci, Omaha, NE 68178 USA; Creighton Univ, Sch Med, Dept Pharmacol, Omaha, NE 68178 USA</t>
  </si>
  <si>
    <t>Creighton University; Creighton University</t>
  </si>
  <si>
    <t>Creighton Univ, Sch Med, Dept Biomed Sci, 2500 Calif Plaza, Omaha, NE 68178 USA.</t>
  </si>
  <si>
    <t>sierrag@creighton.edu</t>
  </si>
  <si>
    <t>10.1016/S1095-6433(01)00488-3</t>
  </si>
  <si>
    <t>521CZ</t>
  </si>
  <si>
    <t>WOS:000173822400013</t>
  </si>
  <si>
    <t>Hedd, A; Gales, R; Brothers, N</t>
  </si>
  <si>
    <t>Provisioning and growth rates of Shy Albatrosses at Albatross Island, Tasmania</t>
  </si>
  <si>
    <t>CONDOR</t>
  </si>
  <si>
    <t>Albatross Island; chick growth; chick provisioning; electronic weighing platforms; Shy Albatross; Thalassarche cauta</t>
  </si>
  <si>
    <t>DIOMEDEA-MELANOPHRIS; PELAGIC SEABIRD; CHICK GROWTH; WANDERING ALBATROSSES; FORAGING STRATEGIES; THALASSARCHE-CAUTA; FEEDING FREQUENCY; ANTARCTIC PETREL; BODY CONDITION; STORM-PETRELS</t>
  </si>
  <si>
    <t>We used electronic weighing platforms inside artificial nests to remotely study chick provisioning and growth in Shy Albatrosses (Thalassarche cauta) at Albatross Island, Tasmania, from 1996 to 1998. Pairs of birds concurrently carried radio-transmitters, allowing each meal to be attributed to an individual parent. Chicks received relatively small meals (372 g) once every 22 hr, and were provisioned at 392 g day(-1) from the end of the brooding period to fledging. Meal size increased with chick age while the feeding frequency decreased, such that chicks were provisioned at a relatively constant rate until reaching peak mass (5.5 kg at 109 days). Provisioning subsequently declined and chicks lost mass, leaving the nest after 127 days weighing 5.0 kg. Male chicks were fed for 10 days longer than females, they received 27% more food, grew faster, and attained higher peak and fledging masses. Between hatching and fledging, overall food consumption by chicks was estimated at 44.9 kg. Rates of chick provisioning and growth were constant between years. Overall, adult males and females provisioned chicks equally. However, large imbalances were often observed within pairs, and in some cases one parent adjusted its provisioning schedule to compensate for its mate. Adults generally decreased provisioning rates when chicks were well fed, but only some elevated their feeding frequency when faced with greater demands. The ability to increase provisioning to hungry chicks contrasts with expectations from studies of other neritic species.</t>
  </si>
  <si>
    <t>Univ Tasmania, Sch Zool, Hobart, Tas 7001, Australia; Dept Primary Ind Water &amp; Environm, Parks &amp; Wildlife Serv, Hobart, Tas 7001, Australia</t>
  </si>
  <si>
    <t>University of Tasmania</t>
  </si>
  <si>
    <t>4 Hammond Est, Portugal Cove, NF A1M 2Y7, Canada.</t>
  </si>
  <si>
    <t>ahedd@attcanada.net</t>
  </si>
  <si>
    <t>Hedd, April/0000-0003-2222-2627</t>
  </si>
  <si>
    <t>OXFORD UNIV PRESS INC</t>
  </si>
  <si>
    <t>CARY</t>
  </si>
  <si>
    <t>JOURNALS DEPT, 2001 EVANS RD, CARY, NC 27513 USA</t>
  </si>
  <si>
    <t>0010-5422</t>
  </si>
  <si>
    <t>1938-5129</t>
  </si>
  <si>
    <t>Condor</t>
  </si>
  <si>
    <t>10.1650/0010-5422(2002)104[0012:PAGROS]2.0.CO;2</t>
  </si>
  <si>
    <t>617EJ</t>
  </si>
  <si>
    <t>WOS:000179348100002</t>
  </si>
  <si>
    <t>Zhou, M; Niiler, PP; Hu, JH</t>
  </si>
  <si>
    <t>Surface currents in the Bransfield and Gerlache Straits, Antarctica</t>
  </si>
  <si>
    <t>Gerlache Strait; Bransfield Strait; surface current; drifters; eddies; shelf; continental margin</t>
  </si>
  <si>
    <t>EUPHAUSIA-SUPERBA; REGION; DYNAMICS; DRIFTER; SUMMER; WATERS; OCEAN</t>
  </si>
  <si>
    <t>We used 39 tracks of mixed layer drifters deployed during the period from November 1998 to January 1990 to study the surface flow characteristics in the Bransfield and Gerlache Straits, Antarctica. The results revealed both the Gerlache Strait Current and the Bransfield Strait Current, which flows along the deep channel of the Gerlache Strait, northeastward to the southern continental margin of the South Shetland Islands following the 750 m isobath. The observed strongest sustained daily mean current reached approximately 40 cm s(-1) in the Bransfield Strait and was confined to the shelf break south of the South Shetland Islands. The computed acceleration of drifters in the Bransfield Strait Current indicates the southward transversal component limits drifters from approaching isobaths shallower than 750 m. The southern side of the Current is rich in cyclonic eddies. Drifters spun off and circulated in cyclonic eddies over deep basins. The residence time of a water parcel in the current is approximately 10-20 days. Anticyclonic circulations were observed around Tower, Hoseason and Liege Islands, and long residence times were found for drifters in shallows and bays of up to 70 days. Results also indicate the Gerlache Strait water can extend along the shelf of the Antarctic peninsula to Tower Island, where it meets the southewestward Weddell Sea water. Most of the Gerlache Strait water exits northward and enters the Bransfield Strait Current. It Spins off and mixes with other waters in the Bransfield Strait. Several long tracks indicated the existence of a cyclonic large circulation gyre in the Bransfield Strait during the ice-free condition. The circulation patterns in both Bransfield and Gerlache Straits change seasonally. The analysis of force balance indicates that currents and eddies are geostrophic though the ageostrophic components are important to maintain currents and form eddies. This composition of eddies and currents provides ideal physical settings for zooplankton growth in eddies and bays and zooplankton dispersion in currents. (C) 2002 Elsevier Science Ltd. All rights reserved.</t>
  </si>
  <si>
    <t>Univ Massachusetts, Dept Environm Coastal &amp; Ocean Sci, Boston, MA 02125 USA; Univ Calif San Diego, Scripps Inst Oceanog, La Jolla, CA 92093 USA; Natl Taiwan Ocean Univ, Chilung, Taiwan</t>
  </si>
  <si>
    <t>University of Massachusetts System; University of Massachusetts Boston; University of California System; University of California San Diego; Scripps Institution of Oceanography; National Taiwan Ocean University</t>
  </si>
  <si>
    <t>Zhou, M (corresponding author), Univ Massachusetts, Dept Environm Coastal &amp; Ocean Sci, 100 Morrissey Blvd, Boston, MA 02125 USA.</t>
  </si>
  <si>
    <t>10.1016/S0967-0637(01)00062-0</t>
  </si>
  <si>
    <t>516QU</t>
  </si>
  <si>
    <t>WOS:000173568900003</t>
  </si>
  <si>
    <t>Andrié, C; Rhein, M; Freudenthal, S; Plähn, O</t>
  </si>
  <si>
    <t>CFC time series in the deep water masses of the western tropical Atlantic, 1990-1999</t>
  </si>
  <si>
    <t>CFCs; deep-water masses; ocean circulation; temporal distribution; age of seawater; tropical Atlantic</t>
  </si>
  <si>
    <t>ANTARCTIC BOTTOM WATER; LABRADOR SEA-WATER; BOUNDARY CURRENT; NORTH-ATLANTIC; EQUATORIAL ATLANTIC; GREENLAND SEA; TEMPORAL EVOLUTION; OCEAN; SALINITY; CHLOROFLUOROMETHANES</t>
  </si>
  <si>
    <t>A unique CFC time series was collected along the 35degreesW meridian in the tropical Atlantic during eight cruises from 1990 to 1999, in order to investigate the large-scale variability of the circulation of the North Atlantic Deep Water (NADW) through transient tracer distributions. Within the upper NADW (UNADW), it appears that CFC distributions, are highly variable; cores of maximal CFC concentrations are closely associated with salinity and are principally caused by the local dynamics of equatorial and extra-equatorial deep jets within the three particular regimes of the 3-ldegreesS, 1degreesS-ldegreesN and 1-3degreesN bands. CFC distribution within the lower NADW (LNADW) is less heterogeneous and linked to oxygen. A double core has been observed for 19,99, possibly due to the recirculation of the deep flow constrained by the circulation of the underlying Antarctic Bottom Water (AABW). The variability of the maximal concentrations presumably results from the seasonal or semi-annual variability of the regional deep circulation. For both layers, the temporal evolution of the mean concentrations has been traced throughout the 1990s. At the UNADW level, the temporal increase of the CFC concentration within the 3degreesS-3degreesN band is mainly due to the transient signal from the atmosphere. This increase is clearly dominant compared with the local dynamics. Similar behavior has been observed for the LNADW in the 3degreesS-1degreesN band, corresponding to the equatorial channel. An attempt has been made to access the transit time for the NADW pathway from the Labrador and Nordic Seas to the tropics. The mean transit time around 25 yr for the UNADW has been compared to other evaluations from hydrographic measurements. (C) 2002 Elsevier Science Ltd. All rights reserved.</t>
  </si>
  <si>
    <t>Univ Paris 06, Lab Oceanog Dynam &amp; Climatol, CNRS, IRD, F-75252 Paris, France; Inst Meereskunde, D-2300 Kiel, Germany; Univ Bremen, Inst Umweltphys, Bremen, Germany</t>
  </si>
  <si>
    <t>Institut de Recherche pour le Developpement (IRD); Sorbonne Universite; Centre National de la Recherche Scientifique (CNRS); University of Bremen</t>
  </si>
  <si>
    <t>Andrié, C (corresponding author), Univ Paris 06, Lab Oceanog Dynam &amp; Climatol, CNRS, IRD, 4 Pl Jussieu,Case 100, F-75252 Paris, France.</t>
  </si>
  <si>
    <t>Rhein, Monika/P-1969-2016</t>
  </si>
  <si>
    <t>Rhein, Monika/0000-0003-1496-2828</t>
  </si>
  <si>
    <t>10.1016/S0967-0637(01)00053-X</t>
  </si>
  <si>
    <t>WOS:000173568900004</t>
  </si>
  <si>
    <t>Xenopoulos, MA; Frost, PC; Elser, JJ</t>
  </si>
  <si>
    <t>Joint effects of UV radiation and phosphorus supply on algal growth rate and elemental composition</t>
  </si>
  <si>
    <t>ECOLOGY</t>
  </si>
  <si>
    <t>C : P ratio; Canada, northwestern Ontario; elemental composition; growth kinetics; lake, boreal; multiple stressors; phosphorus limitation; photosynthetically active radiation; phytoplankton growth; ultraviolet radiation</t>
  </si>
  <si>
    <t>ULTRAVIOLET-B RADIATION; FRESH-WATER ALGAE; PHYTOPLANKTON GROWTH; NUTRIENT LIMITATION; ANTARCTIC PHYTOPLANKTON; LAKE ACIDIFICATION; MESOHUMIC LAKE; DAPHNIA-PULEX; RESPONSES; NITROGEN</t>
  </si>
  <si>
    <t>Phytoplankton growth and elemental composition are influenced by a number of factors such as photosynthetically active radiation (PAR) and nutrient availability. However, little is known about the influence of solar ultraviolet radiation (UVR) and interactions with nutrients on algal growth processes in situ. We tested the effects of solar radiation and phosphorus supply on algal growth kinetics and elemental composition in two boreal lakes (northwestern Ontario, Canada) during summer 1999. Growth bioassays (at five phosphorus concentrations) assessed changes in algal growth and elemental composition exposed to (1) ultraviolet A [UVA], ultraviolet B [UVB], and photosynthetically active radiation [PAR], (2) UVA and PAR, and (3) PAR only. Growth rates, calculated from changes in seston carbon and chlorophyll, responded strongly to both P and UVR. Results indicated that phytoplankton growth was co-regulated by P limitation and UVR suppression, with highest growth rates found in high P, low UVR treatments. Phytoplankton exposed to both UVA and UVB generally grow more slowly than those exposed to PAR only, even at high P levels. UVB and UVA reduced maximum growth rates by 8-66% and 11-21%, respectively. Phytoplankton growth was more strongly affected by UVB in spring than later in summer, possibly due to shifts in the dominant species present. Manipulations of light and P supply both significantly affected seston C:P ratios. UVR reduced sestonic C:P. Such changes in growth rates and C:P ratios from UVR exposure may have important implications for pelagic food web dynamics.</t>
  </si>
  <si>
    <t>Univ Alberta, Dept Biol Sci, Edmonton, AB T6G 2E9, Canada; Arizona State Univ, Dept Biol, Tempe, AZ 85257 USA</t>
  </si>
  <si>
    <t>University of Alberta; Arizona State University; Arizona State University-Tempe</t>
  </si>
  <si>
    <t>Xenopoulos, MA (corresponding author), Univ Alberta, Dept Biol Sci, Edmonton, AB T6G 2E9, Canada.</t>
  </si>
  <si>
    <t>Elser, James/A-7082-2008; Frost, Paul/AAT-6633-2021</t>
  </si>
  <si>
    <t>ECOLOGICAL SOC AMER</t>
  </si>
  <si>
    <t>1707 H ST NW, STE 400, WASHINGTON, DC 20006-3915 USA</t>
  </si>
  <si>
    <t>0012-9658</t>
  </si>
  <si>
    <t>10.1890/0012-9658(2002)083[0423:JEOURA]2.0.CO;2</t>
  </si>
  <si>
    <t>516EJ</t>
  </si>
  <si>
    <t>WOS:000173538800012</t>
  </si>
  <si>
    <t>Muir, DCG; Jones, PD; Karlsson, H; Koczansky, K; Stern, GA; Kannan, K; Ludwig, JP; Reid, H; Robertson, CJR; Giesy, JP</t>
  </si>
  <si>
    <t>Toxaphene and other persistent organochlorine pesticides in three species of albatrosses from the north and south Pacific Ocean</t>
  </si>
  <si>
    <t>ENVIRONMENTAL TOXICOLOGY AND CHEMISTRY</t>
  </si>
  <si>
    <t>toxaphene; chlordane; pesticides; albatross; Pacific Ocean</t>
  </si>
  <si>
    <t>RESOLUTION GAS-CHROMATOGRAPHY; MARINE FOOD-CHAINS; POLYCHLORINATED-BIPHENYLS; CHLORINATED HYDROCARBONS; TECHNICAL CHLORDANE; GLOBAL POLLUTION; TEMPORAL TRENDS; MIDWAY ATOLL; CONTAMINANTS; MAMMALS</t>
  </si>
  <si>
    <t>Toxaphene and other persistent organochlorine (OC) pesticides (chlordane-related compounds [SigmaCHL], DDT-related compounds [SigmaDDT], hexachlorocyclohexanes [SigmaHCH], tris(p-chloro-phenyl)methane, hexachlorobenzene, octachlorostyrene, dieldrin) were determined in fat of Laysan albatross (Diomedea immutabilis) and in fat and eggs of blackfooted albatross (Diomedea nigripes) from the central north Pacific Ocean. The HCH isomers and chlordane- and DDT-related compounds were also determined in eggs of northern royal albatross (Diomedea sanfordi) collected in New Zealand. Toxaphene was detected in fat samples at mean +/- standard deviation (SD) levels ranging from 243 +/- 61 ng/g wet weight in Laysan albatross to 1,020 +/- 237 ng/g wet weight-in blackfooted albatross. These levels were higher than SigmaCHL and SigmaHCH but lower than SigmaDDT In eggs of blackfooted albatross, toxaphene was the major OC pesticide, averaging 513 ng/g wet weight in two pooled samples compared with 293 ng/g wet weight for SigmaDDT Two toxaphene congeners, the octachloroborane B8-1413 (Parlar 26) and the nonachlorobornane B9-1679 (P50), comprised about 38% of total toxaphene in both albatross species. All OC compounds were present at significantly higher levels in blackfooted than Laysan albatross fat with the exception of SigmaHCH, dieldrin, and octachlorostyrene. Mean levels of SigmaDDT and SHCH in northern royal albatross eggs from New Zealand were 4 and 60 times lower, respectively, than in blackfooted albatross eggs. The pattern of OC pesticide accumulation was consistent with differences in distribution of the three species in the Pacific Ocean, with highest levels in blackfooted albatross, which feed off the west coast of North America, intermediate levels in Laysan albatross, which frequent the western Pacific, and lowest levels in northern royal albatross, which are confined to the southern oceans surrounding the Antarctic.</t>
  </si>
  <si>
    <t>Environm Canada, Natl Water Res Inst, Burlington, ON L7R 4A6, Canada; Fisheries &amp; Oceans Canada, Inst Freshwater, Winnipeg, MB R3T 2N6, Canada; Michigan State Univ, Dept Zool, Natl Food Safety &amp; Toxicol Ctr, E Lansing, MI 48824 USA; Michigan State Univ, Inst Environm Toxicol, E Lansing, MI 48824 USA; SERE Grp, Victoria, BC V8P 3C8, Canada; Inst Environm Sci &amp; Res, Wellington, New Zealand; Dept Conservat, Wellington, New Zealand</t>
  </si>
  <si>
    <t>Environment &amp; Climate Change Canada; National Water Research Institute; Fisheries &amp; Oceans Canada; Michigan State University; Michigan State University; Institute of Environmental Science &amp; Research (ESR) - New Zealand</t>
  </si>
  <si>
    <t>Environm Canada, Natl Water Res Inst, Burlington, ON L7R 4A6, Canada.</t>
  </si>
  <si>
    <t>derek.muir@cciw.ca</t>
  </si>
  <si>
    <t>Jones, Paul/O-2046-2015; Muir, Derek/AAD-7526-2021</t>
  </si>
  <si>
    <t>Jones, Paul/0000-0002-7483-5380; Stern, Gary/0000-0003-2160-0841; Muir, Derek/0000-0001-6631-9776; Giesy, John/0000-0003-1931-9962</t>
  </si>
  <si>
    <t>0730-7268</t>
  </si>
  <si>
    <t>1552-8618</t>
  </si>
  <si>
    <t>ENVIRON TOXICOL CHEM</t>
  </si>
  <si>
    <t>Environ. Toxicol. Chem.</t>
  </si>
  <si>
    <t>10.1897/1551-5028(2002)021&lt;0413:TAOPOP&gt;2.0.CO;2</t>
  </si>
  <si>
    <t>Environmental Sciences; Toxicology</t>
  </si>
  <si>
    <t>Environmental Sciences &amp; Ecology; Toxicology</t>
  </si>
  <si>
    <t>514JY</t>
  </si>
  <si>
    <t>WOS:000173436800026</t>
  </si>
  <si>
    <t>Lange, M; Chen, YQ; Medlin, LK</t>
  </si>
  <si>
    <t>Molecular genetic delineation of Phaeocystis species (Prymnesiophyceae) using coding and non-coding regions of nuclear and plastid genomes</t>
  </si>
  <si>
    <t>EUROPEAN JOURNAL OF PHYCOLOGY</t>
  </si>
  <si>
    <t>biogeography; ITS1; Phaeocystis; phylogeny; Prymnesiophyceae; RUBISCO spacer; 18S rRNA</t>
  </si>
  <si>
    <t>INTERNAL TRANSCRIBED SPACER; RIBOSOMAL-RNA GENE; CHLOROPLAST-ENCODED RBCL; RIBULOSE-1,5-BISPHOSPHATE CARBOXYLASE; SMALL-SUBUNIT; RUBISCO SPACER; MORPHOLOGICAL ANALYSIS; PERIDINIUM FOLIACEUM; OLISTHODISCUS-LUTEUS; DNA-SEQUENCES</t>
  </si>
  <si>
    <t>Sequence variation among 22 isolates representing a global distribution of the prymnesiophyte genus Phaeocystis has been compared using nuclear-encoded 18S rRNA genes and two non-coding regions: the ribosomal DNA internal transcribed spacer 1 (ITS1) separating the 18S rRNA and 5.8S rRNA genes and the plastid ribulose-1,5-bisphosphate carboxylase/oxygenase (RUBISCO) spacer flanked by short stretches of the adjacent large and small subunits (rbcL and rbcS). 18S rRNA can only resolve major species complexes. The analysis suggests that an undescribed unicellular Phaeocystis sp. (isolate PLY 559) is a sister taxon to the Mediterranean unicellular Phaeocystis jahnii: this clade branched prior to the divergence of all other Phaeocystis species. including the colonial ones. Little divergence was seen among the multiple isolates sequenced from each colonial species complex. RUBISCO spacer regions are even more highly conserved among closely related colonial Phaeocystis species and are identical in Phaeocystis antarctica, Phaeocystis pouchetii and two warm-temperate strains of Phaeocystis globosa, with a single base substitution in two cold-temperate strains of P. globosa. The RUBISCO spacer sequences from two predominantly unicellular Phaeocystis isolates from the Mediterranean Sea and PLY 559 were clearly different from other Phaeocystis strains. In contrast. ITS1 exhibited substantial inter- and intraspecific sequence divergence and showed more resolution among the taxa. Distinctly different copies of the ITS1 region were found in P. globosa, even among cloned DNA from a single strain., suggesting that it is a species complex and making this region unsuitable for phylogenetic analysis in this species. However, among nine P. antarctica strains, four ITS1 haplotypes could be separated. Using the branching order in the ITS1 tree we have attempted to trace the biogeographic history of the dispersal of strains in Antarctic coastal waters.</t>
  </si>
  <si>
    <t>Alfred Wegener Inst Polar &amp; Marine Res, D-27515 Bremerhaven, Germany; Zhongshan Univ, Biotechnol Res Ctr, Key Lab Gene Engn Educ Minist, Guangzhou 510275, Peoples R China</t>
  </si>
  <si>
    <t>Helmholtz Association; Alfred Wegener Institute, Helmholtz Centre for Polar &amp; Marine Research; Sun Yat Sen University</t>
  </si>
  <si>
    <t>Alfred Wegener Inst Polar &amp; Marine Res, Postfach 120161,Colombusstr, D-27515 Bremerhaven, Germany.</t>
  </si>
  <si>
    <t>lmedlin@awi-bremer-haven.de</t>
  </si>
  <si>
    <t>medlin, linda k/G-4820-2010</t>
  </si>
  <si>
    <t>medlin, linda k/0000-0001-6014-8339</t>
  </si>
  <si>
    <t>0967-0262</t>
  </si>
  <si>
    <t>1469-4433</t>
  </si>
  <si>
    <t>EUR J PHYCOL</t>
  </si>
  <si>
    <t>Eur. J. Phycol.</t>
  </si>
  <si>
    <t>10.1017/S0967026201003481</t>
  </si>
  <si>
    <t>535DK</t>
  </si>
  <si>
    <t>WOS:000174629800008</t>
  </si>
  <si>
    <t>Moro, I; La Rocca, N; Dalla Valle, L; Moschin, E; Negrisolo, E; Andreoli, C</t>
  </si>
  <si>
    <t>Pyramimonas australis sp nov (Prasinophyceae, Chlorophyta) from Antarctica:: fine structure and molecular phylogeny</t>
  </si>
  <si>
    <t>Antarctica; PCR; Prasinophyceae; phylogeny Pyramimonas australis; rbcL gene; Ross Sea; SSU rDNA gene; Terra Nova Bay; ultrastructure</t>
  </si>
  <si>
    <t>NORTHERN FOXE BASIN; GENUS PYRAMIMONAS; ARCTIC CANADA; GROWTH-RATES; VESTFOLD HILLS; GREEN-ALGAE; ROSS-SEA; ACE LAKE; ULTRASTRUCTURE; PHYTOPLANKTON</t>
  </si>
  <si>
    <t>An undescribed marine Pyramimonas, P. australis Andreoli et Moro, sp. nov., forming a bloom in a hole of Terra Nova Bay (Ross Sea, Antarctica) sea ice, was collected, but could not be cultured. Consequently, the description of this new species is based on light and electron microscope observations on samples that were fixed or stored at -80 degreesC, and its phylogenetic position inferred from nuclear-encoded small-subunit ribosomal DNA (SSU rDNA) and chloroplast-encoded rbcL gene sequences. This is the third Antarctic species described for this genus. The ultrastructure of the cell is consistent with species of the subgenus Trichocystis McFadden, but differs in that it has unique body and cyst scales. and a different encystment procedure. The outermost layer of body scales is formed by flat box scales with peripheral perforations oriented parallel to the four edges and with a further eight central perforations oriented perpendicular to the peripheral ones. Crown scales, which in many other species of the genus form the outermost layer over the entire cell body, were observed in this species in the flagellar pit over the box scales. The flagella are covered by a pentagonal underlayer of scales and by limuloid scales with two subsidiary spines, in addition to the central one. Encystment begins in the flagellate form resulting in a cyst with an irregular wall bearing spine scales. Ultrastructural and molecular data confirm that P. australis belongs to the subgenus Trichocystis.</t>
  </si>
  <si>
    <t>Univ Padua, Dept Biol, I-35131 Padua, Italy</t>
  </si>
  <si>
    <t>University of Padua</t>
  </si>
  <si>
    <t>Andreoli, C (corresponding author), Univ Padua, Dept Biol, Via Ugo Bassi 58-B, I-35131 Padua, Italy.</t>
  </si>
  <si>
    <t>La Rocca, Nicoletta/AAA-2241-2021; Dalla Valle, Luisa/G-6721-2011; Negrisolo, Enrico/K-8124-2015</t>
  </si>
  <si>
    <t>La Rocca, Nicoletta/0000-0003-4866-5952; Dalla Valle, Luisa/0000-0001-8097-6369; Negrisolo, Enrico/0000-0002-6244-805X</t>
  </si>
  <si>
    <t>10.1017/S0967026201003493</t>
  </si>
  <si>
    <t>WOS:000174629800010</t>
  </si>
  <si>
    <t>Murtagh, GJ; Dyer, PS; Rogerson, A; Nash, GV; Laybourn-Parry, J</t>
  </si>
  <si>
    <t>A new species of Tetramitus in the benthos of a saline antarctic lake</t>
  </si>
  <si>
    <t>EUROPEAN JOURNAL OF PROTISTOLOGY</t>
  </si>
  <si>
    <t>Amoeboflagellate; Antarctica; ecology; new species; Tetramitus vestfoldii; Vahlkampfiidae</t>
  </si>
  <si>
    <t>RIBOSOMAL-RNA; NAEGLERIA-GRUBERI; SEDIMENTS; MARINE; AMEBAS</t>
  </si>
  <si>
    <t>A new amoeboflagellate, Tetramitus vestfoldii n. sp. was discovered in the microbial mat of Pendent Lake, Vestfold Hills, Eastern Antarctica. Isolates were examined using light microscopy, electron microscopy and molecular analysis of the small subunit ribosomal DNA (SSU rDNA). Microscopical observations revealed a markedly eruptive, limax amoeboid stage with a clear hyaline zone, whilst flagellates were tapered posteriorly with a cytostome and anterior rostrum from which 4 flagella of equal length arose. The SSU rDNA was sequenced. Alignment of the sequence with published sequences of some other amoeboflagellates revealed that this species is best placed within the Vahlkampfiidae. The T. vestfoldii SSU rDNA was found to show greatest similarity with that of T. rostratus, a species with which it also shares several structural characteristics. Inorganic nutrient measurements indicate that the benthos of Pendent Lake could be a favourable environment for a bacterivorous predator such as Tetramitus. Ice cover on Pendent Lake was seen throughout the study period and may have reduced light intensity in the microbial mat; a low light intensity would appear to be a requirement for this species. The new species is defined on the basis of a pronounced taper towards the posterior end in the flagellate stage, an intolerance to salt concentrations greater than 30 parts per thousand and phylogenetic resolution using SSU rDNA sequence comparisons.</t>
  </si>
  <si>
    <t>Univ Nottingham, Sch Life &amp; Environm Sci, Nottingham NG7 2RD, England; Nova Southeastern Univ, Oceanog Ctr, Dania, FL 33004 USA; Australian Antarct Div, Kingston, Tas 7050, Australia</t>
  </si>
  <si>
    <t>University of Nottingham; Nova Southeastern University; Australian Antarctic Division</t>
  </si>
  <si>
    <t>Johanna.Laybourn-Parry@nottingham.ac.uk</t>
  </si>
  <si>
    <t>Dyer, Paul/0000-0003-0237-026X</t>
  </si>
  <si>
    <t>ELSEVIER GMBH</t>
  </si>
  <si>
    <t>MUNICH</t>
  </si>
  <si>
    <t>HACKERBRUCKE 6, 80335 MUNICH, GERMANY</t>
  </si>
  <si>
    <t>0932-4739</t>
  </si>
  <si>
    <t>1618-0429</t>
  </si>
  <si>
    <t>EUR J PROTISTOL</t>
  </si>
  <si>
    <t>Eur. J. Protistol.</t>
  </si>
  <si>
    <t>10.1078/0932-4739-00836</t>
  </si>
  <si>
    <t>530MX</t>
  </si>
  <si>
    <t>WOS:000174362400012</t>
  </si>
  <si>
    <t>Rundgren, M; Bennike, O</t>
  </si>
  <si>
    <t>Century-scale changes of atmospheric CO2 during the last interglacial</t>
  </si>
  <si>
    <t>Eemian; CO2; leaves; Salix; Greenland</t>
  </si>
  <si>
    <t>VOSTOK ICE CORE; NORTH-ATLANTIC; EAST GREENLAND; CARBON-DIOXIDE; ISOTOPE DATA; CLIMATE; RECORD; CYCLE; CIRCULATION; ANTARCTICA</t>
  </si>
  <si>
    <t>The crucial role of atmospheric CO2 in glacial-interglacial transitions is demonstrated by recent ice-core studies that highlight the importance of accurate CO2 records for our understanding of Quaternary climate dynamics. Previous estimates of CO2 levels during the last interglacial stage (the Eemian) relied on measurements on air trapped in the Antarctic Vostok ice core. Due to uncertainties associated with in situ chemical alteration and gas diffusion, there is a need for independent estimates of past CO2 levels. Here we report 33 Eemian CO2 estimates based on the stomatal index of Salix herbacea L. leaves preserved in Greenland sediments. We reconstruct Eemian CO2 levels centered on 250-280 parts per million by volume (ppmv), in general agreement with ice-core data. Two deviating (lower) stomatal estimates may reflect diffusional smoothing of Vostok CO2, data and indicate century-scale Eemian CO2 variability.</t>
  </si>
  <si>
    <t>Lund Univ, Dept Quaternary Geol, SE-22363 Lund, Sweden; Geol Survey Denmark &amp; Greenland, DK-2400 Copenhagen NV, Denmark</t>
  </si>
  <si>
    <t>Lund University; Geological Survey Of Denmark &amp; Greenland</t>
  </si>
  <si>
    <t>Rundgren, M (corresponding author), Lund Univ, Dept Quaternary Geol, Tornavagen 13, SE-22363 Lund, Sweden.</t>
  </si>
  <si>
    <t>Bennike, Ole/G-7070-2018</t>
  </si>
  <si>
    <t>Bennike, Ole/0000-0002-5486-9946</t>
  </si>
  <si>
    <t>10.1130/0091-7613(2002)030&lt;0187:CSCOAC&gt;2.0.CO;2</t>
  </si>
  <si>
    <t>521NF</t>
  </si>
  <si>
    <t>WOS:000173846400023</t>
  </si>
  <si>
    <t>Kaufmann, G</t>
  </si>
  <si>
    <t>Predictions of secular geoid changes from Late Pleistocene and Holocene Antarctic ice-ocean mass imbalance</t>
  </si>
  <si>
    <t>Antarctic Ice Sheet; geoid anomalies; last glacial cycles; present-day melting</t>
  </si>
  <si>
    <t>SEA-LEVEL CHANGE</t>
  </si>
  <si>
    <t>Estimates on ice volume changes in Antarctica, from both contemporary mass imbalance during the last hundred to thousand years and ice volume changes during the last glacial cycles, are difficult to obtain. Future satellite-gravity missions monitoring secular changes in gravity as a proxy of mass changes of the Antarctic Ice Sheet will therefore provide an additional important constraint on the Antarctic Ice Sheet history. We assess the contributions from both past ice volume changes during the last glacial cycles and present ice imbalances over Antarctica, using a variety of published ice models. Model predictions of secular changes of the geoid anomaly based on plausible mantle viscosity profiles enable us to discuss the importance of past and present ice volume changes and their characteristic signatures. While uncertainties arising from the viscosity profile are of secondary importance for model predictions of the secular change of the geoid anomaly, we expect significant bias of the observed signal from uncertainties in the timing of the end of deglaciation, which is in agreement with previous studies. Hence, the benefit of inferring present-day Antarctic ice imbalance from satellite-gravity missions will depend on improvements to ice models for the last glacial cycle.</t>
  </si>
  <si>
    <t>Univ Gottingen, Inst Geophys, D-37075 Gottingen, Germany</t>
  </si>
  <si>
    <t>University of Gottingen</t>
  </si>
  <si>
    <t>Univ Gottingen, Inst Geophys, Herzberger Landstr 180, D-37075 Gottingen, Germany.</t>
  </si>
  <si>
    <t>gkaufmann@uni-geophys.gwdg.de</t>
  </si>
  <si>
    <t>Kaufmann, Georg/0000-0003-4057-6875</t>
  </si>
  <si>
    <t>10.1046/j.1365-246X.2002.01596.x</t>
  </si>
  <si>
    <t>525GA</t>
  </si>
  <si>
    <t>WOS:000174059500015</t>
  </si>
  <si>
    <t>Mock, T</t>
  </si>
  <si>
    <t>In situ primary production in young Antarctic sea ice</t>
  </si>
  <si>
    <t>HYDROBIOLOGIA</t>
  </si>
  <si>
    <t>Antarctica; algae; carbon assimilation; chlorophyll a; growth; in situ primary production; methods; photosynthesis; sea ice</t>
  </si>
  <si>
    <t>MICROBIAL COMMUNITIES; ALGAL COMMUNITY; MCMURDO SOUND; IRRADIANCE; MICROALGAE; GROWTH</t>
  </si>
  <si>
    <t>An in situ incubation technique used successfully to measure the photosynthetic carbon assimilation of internal algal assemblages within thick multiyear Arctic ice was developed and improved to measure the photosynthetic carbon assimilation within young sea ice only 50 cm thick (Eastern Weddell Sea, Antarctica). The light transmission was improved by the construction of a cylindrical frame instead of using a transparent acrylic-glass barrel. The new device enabled some of the first precise measurements of in situ photosynthetic carbon assimilation in newly formed Antarctic sea ice, which is an important component in the sea ice ecosystem of the Antarctic Ocean. The rates of carbon assimilation of the interior algal assemblage (top to 5 cm from bottom) was 0.25 mg C m(-2) d(-1) whereas the bottom algal community (lowest 5 cm) attained only 0.02 mg C m(-2) d(-1). Chl a specific production rates (P(C)hl) for bottom algae (0.020 - 0.056 mug C mug chl a(-1) h(-1)) revealed strong light limitation, whereas the interior algae (P(C)hl = 0.7 - 1.2 mug C mug chl a(1)(-) h(-1)) were probably more limited by low temperatures (&lt; -5 degreesC) and high brine salinities.</t>
  </si>
  <si>
    <t>Mock, T (corresponding author), Alfred Wegener Inst Polar &amp; Marine Res, Handelshafen 12, D-27570 Bremerhaven, Germany.</t>
  </si>
  <si>
    <t>Mock, Thomas/A-3127-2008</t>
  </si>
  <si>
    <t>Mock, Thomas/0000-0001-9604-0362</t>
  </si>
  <si>
    <t>0018-8158</t>
  </si>
  <si>
    <t>Hydrobiologia</t>
  </si>
  <si>
    <t>10.1023/A:1015676022027</t>
  </si>
  <si>
    <t>556NA</t>
  </si>
  <si>
    <t>WOS:000175854800013</t>
  </si>
  <si>
    <t>Cockell, CS; Barlow, NG</t>
  </si>
  <si>
    <t>Impact excavation and the search for subsurface life on Mars</t>
  </si>
  <si>
    <t>impacts; Mars; life; excavation; critical depth; drilling; paleolacustrine</t>
  </si>
  <si>
    <t>ORBITER-LASER-ALTIMETER; EJECTA MORPHOLOGIES; DEEP SUBSURFACE; MICROBIAL LIFE; CRATER LAKES; EARLY EARTH; PERMAFROST; MICROORGANISMS; SEDIMENTS; ORIGIN</t>
  </si>
  <si>
    <t>Because of the ubiquity of subsurface microbial life on Earth, examination of the subsurface of Mars could provide an answer to the question of whether microorganisms exist or ever existed on that planet. Impact craters provide a natural mechanism for accessing the deep substrate of Mars and exploring its exobiological potential. Based on equations that relate impact crater diameters to excavation depth we estimate the observed crater diameters that are required to prospect to given depths in the martian subsurface and we relate these depths to observed microbiological phenomena in the terrestrial subsurface. Simple craters can be used to examine material to a depth of similar to270 m. Complex craters can be used to reach greater depths, with craters of diameters greater than or equal to 300 km required to reach depths of 6 km or greater, which represent the limit of the terrestrial deep subsurface biosphere. Examination of the ejecta blankets of craters between 17.5 and 260 km in diameter would provide insights into whether there is an extant, or whether there is evidence of an extinct, deep subsurface microbiota between 500 and 5000 m prior to committing to large-scale drilling efforts. At depths &lt; 500 m some crater excavations are likely to be more important than others from an excibiological point of view. We discuss examples of impacts into putative intracrater paleolacustrine sediments and regions associated with hydrothermal activity. We compare these depths to the characteristics of subsurface life on Earth and the fossil microbiological record in terrestrial impact craters. (C) 2002 Elsevier Science (USA).</t>
  </si>
  <si>
    <t>NASA, Ames Res Ctr, Moffett Field, CA 94035 USA; British Antarctic Survey, Cambridge CB3 0ET, England; Univ Cent Florida, Dept Phys, Orlando, FL 32816 USA</t>
  </si>
  <si>
    <t>National Aeronautics &amp; Space Administration (NASA); NASA Ames Research Center; UK Research &amp; Innovation (UKRI); Natural Environment Research Council (NERC); NERC British Antarctic Survey; State University System of Florida; University of Central Florida</t>
  </si>
  <si>
    <t>Cockell, CS (corresponding author), NASA, Ames Res Ctr, MS 245-3, Moffett Field, CA 94035 USA.</t>
  </si>
  <si>
    <t>10.1006/icar.2001.6725</t>
  </si>
  <si>
    <t>548GN</t>
  </si>
  <si>
    <t>WOS:000175380400006</t>
  </si>
  <si>
    <t>Keable, M; Simmonds, I; Keay, K</t>
  </si>
  <si>
    <t>Distribution and temporal variability of 500 hPa cyclone characteristics in the Southern Hemisphere</t>
  </si>
  <si>
    <t>cyclones; upper level troughs; 500 hPa level; Southern Hemisphere; climate trends; Antarctica; cyclogenesis; cyclolysis</t>
  </si>
  <si>
    <t>NCEP-NCAR REANALYSIS; NORTHERN-HEMISPHERE; CLOSED CYCLONE; MOBILE TROUGHS; SEA-ICE; CLIMATOLOGY; BEHAVIOR; IDENTIFICATION; ANTICYCLONES; CENTERS</t>
  </si>
  <si>
    <t>A 40 year period ( 1958-97) of US National Centers for Environmental Prediction reanalysis data has been used to diagnose the behaviour and variability of 500 hPa extratropical cyclones for the Southern Hemisphere using a Lagrangian perspective. The 'finding' and 'tracking' of these systems were performed using a fully automated scheme. Seasonal distributions of system density, cyclone formation (cyclogenesis), decay (cyclolysis), cyclone centre velocity and intensity/strcngth are presented. System density is shown to exhibit a maximum in the surface circumpolar trough region and over the Antarctic continent. A broad band of enhanced cyclone system density was evident across the South Pacific from southeast Australia to South America in all seasons, most markedly in winter. As this feature appears also at the surface level, strong vertical consistency of these cyclones in the low and middle troposphere is indicated. Velocities of cyclone centres were found to peak in the latitudes 50-55 S, and 500 hPa systems appeared to move on average in a much more zonal (easterly) direction than their sea-level counterparts. The mean number of midlatitude cyclones per analysis has exhibited a significant downward trend over the record, with particularly low values observed in the early 1980s. Offsetting this trend have been increases in three measures of mean cyclone vigour. Three orographic features, in particular, are seen to influence the behaviour of 500 hPa cyclones: the mountains of New Zealand, the Antarctic Peninsula and the southern Andes. Over most of Antarctica the rate of cyclogenesis exceeds that of cyclolysis, indicating that many of the cyclones being formed in the vortex are actually exported out (i.e. to the north) of the continent. In (he subtropics, considerable numbers of systems are formed in the Mozambique Sea region, but these tend to be quasi-stationary features. Copyright (C) 2002 Royal Meteorological Society.</t>
  </si>
  <si>
    <t>Univ Melbourne, Sch Earth Sci, Melbourne, Vic 3010, Australia; Australian Bur Meteorol, NSW Reg Off, Darlinghurst, NSW 2010, Australia</t>
  </si>
  <si>
    <t>University of Melbourne; Melbourne Bioinformatics; Bureau of Meteorology - Australia</t>
  </si>
  <si>
    <t>Simmonds, I (corresponding author), Univ Melbourne, Sch Earth Sci, Melbourne, Vic 3010, Australia.</t>
  </si>
  <si>
    <t>10.1002/joc.728</t>
  </si>
  <si>
    <t>535MR</t>
  </si>
  <si>
    <t>WOS:000174648700001</t>
  </si>
  <si>
    <t>Williams, RN; Michael, KJ; Pendlebury, S; Crowther, P</t>
  </si>
  <si>
    <t>An automated image analysis system for determining sea-ice concentration and cloud cover from AVHRR images of the Antarctic</t>
  </si>
  <si>
    <t>INTERNATIONAL JOURNAL OF REMOTE SENSING</t>
  </si>
  <si>
    <t>CLASSIFICATION</t>
  </si>
  <si>
    <t>The Australian Bureau of Meteorology operates a meteorological centre at the Casey station in East Antarctica. This centre is able to receive Advanced Very High Resolution Radiometer ( AVHRR) data directly from the NOAA satellites and the Bureau uses these data for operational and research applications. Currently the AVHRR images are interpreted manually. However, the ICEMAPPER analysis system is able to automate this process. The system uses one set of rules to identify areas of high cloud, low cloud, open water, land ice and sea ice and another to determine sea-ice concentration. Some of the rules in ICEMAPPER were derived using information obtained from published and unpublished research, augmented by details given by practising meteorologists. Others were created by having an expert image interpreter analyse a set of representative AVHRR images and processing these analyses, using a statistical package, to produce rules which closely duplicate the manual analyses. The system was tested on six AVHRR images of the East Antarctic coastline, acquired late in the 1997/1998 summer season. It successfully identified 85% of pixels, selected from the images using a regular grid, as belonging to one of the five surface classes: high cloud, low cloud, open water, land ice or sea ice.</t>
  </si>
  <si>
    <t>Univ Tasmania, Sch Comp, Launceston, Tas, Australia; Univ Tasmania, Inst Antarctic &amp; So Ocean Studies, Hobart, Tas 7001, Australia; Bur Meteorol, Tasmania &amp; Antarctica Reg Off, Hobart, Tas 7001, Australia</t>
  </si>
  <si>
    <t>University of Tasmania; University of Tasmania; Bureau of Meteorology - Australia</t>
  </si>
  <si>
    <t>Williams, RN (corresponding author), Univ Tasmania, Sch Comp, POB 1214, Launceston, Tas, Australia.</t>
  </si>
  <si>
    <t>williams, Ray/HSE-3267-2023; Williams, Raymond/J-6104-2012; Michael, Kelvin/J-7217-2014</t>
  </si>
  <si>
    <t>Michael, Kelvin/0000-0002-5427-7393</t>
  </si>
  <si>
    <t>4 PARK SQUARE, MILTON PARK,, ABINGDON OX14 4RN, OXON, ENGLAND</t>
  </si>
  <si>
    <t>0143-1161</t>
  </si>
  <si>
    <t>INT J REMOTE SENS</t>
  </si>
  <si>
    <t>Int. J. Remote Sens.</t>
  </si>
  <si>
    <t>10.1080/01431160010025989</t>
  </si>
  <si>
    <t>Remote Sensing; Imaging Science &amp; Photographic Technology</t>
  </si>
  <si>
    <t>508UW</t>
  </si>
  <si>
    <t>WOS:000173109000001</t>
  </si>
  <si>
    <t>Boyd, IL</t>
  </si>
  <si>
    <t>Estimating food consumption of marine predators: Antarctic fur seals and macaroni penguins</t>
  </si>
  <si>
    <t>JOURNAL OF APPLIED ECOLOGY</t>
  </si>
  <si>
    <t>bioenergetics; carbon budgets; marine mammal; predation; seabird</t>
  </si>
  <si>
    <t>ARCTOCEPHALUS-PUSILLUS-PUSILLUS; EUPHAUSIA-SUPERBA DANA; SOUTH-GEORGIA; EUDYPTES-CHRYSOLOPHUS; BIRD-ISLAND; BIOCHEMICAL-COMPOSITION; ENERGY-REQUIREMENTS; FUTURE CONSUMPTION; TOP PREDATORS; CATCH RATES</t>
  </si>
  <si>
    <t>1. Estimating food consumption is central to defining the ecological role of marine predators. This study developed an algorithm for synthesizing information about physiology, metabolism, growth, diet, life history and the activity budgets of marine predators to estimate population energy requirements and food consumption. 2. Two species of marine predators (Antarctic fur seal Arctocephalus gazella and macaroni penguin Eudyptes chrsolophus) that feed on krill in the Southern Ocean were used as examples to test the algorithm. A sensitivity analysis showed that estimates of prey consumed were most sensitive to uncertainty in some demographic variables, particularly the annual survival rate and total offspring production. Uncertainty in the measurement of metabolic rate led to a positive bias in the mean amount of food consumed. Uncertainty in most other variables had little influence on the estimated food consumed. 3. Assuming a diet mainly of krill Euphausia superba, annual food consumption by Antarctic fur seals and macaroni penguins at the island of South Georgia was 3.84 [coefficient of variation (CV) = 0.11] and 8.08 (CV = 0.23) million tonnes, respectively. This was equivalent to a total annual carbon consumption of 0.35 (CV 0.11) and 0.72 (CV = 0.23) G tonnes year(1). Carbon expired as CO2 was 0.26 (CV 0.06) and 0.65 (CV = 0.19) G tonnes year(1) for fur seals and macaroni penguins, respectively. The per capita food consumption varied depending upon sex and age but, overall, this was 1.7 (CV = 0.22) tonnes year(1) for Antarctic fur seals and 0.45 (CV = 0.22) tonnes year for macaroni penguins. 4. The algorithm showed that the seasonal demand for food peaked in both species in the second half of the breeding season and, for macaroni penguins, there was a second peak immediately after moult. Minimum food demand occurred in both species during the first half of the breeding season. 5. As both Antarctic fur seals and macaroni penguins compete for krill with a commercial fishery, these results provide an insight into the seasons and stages of the life cycle in which competition is likely to be greatest.</t>
  </si>
  <si>
    <t>British Antarctic Survey, Nat Environm Res Council, Cambridge CB3 OET, England</t>
  </si>
  <si>
    <t>Boyd, IL (corresponding author), Univ St Andrews, Sea Mammal Res Unit, Gatty Marine Lab, St Andrews KY16 8LB, Fife, Scotland.</t>
  </si>
  <si>
    <t>0021-8901</t>
  </si>
  <si>
    <t>J APPL ECOL</t>
  </si>
  <si>
    <t>J. Appl. Ecol.</t>
  </si>
  <si>
    <t>10.1046/j.1365-2664.2002.00697.x</t>
  </si>
  <si>
    <t>529PF</t>
  </si>
  <si>
    <t>WOS:000174307300010</t>
  </si>
  <si>
    <t>Silva, JRMC; Staines, NA; Hernandez-Blazquez, FJ; Porto-Neto, LR; Borges, JCS</t>
  </si>
  <si>
    <t>Phagocytosis and giant cell formation at 0° C by macrophage (MO) of Notothenia coriiceps</t>
  </si>
  <si>
    <t>Notothenia coriiceps; inflammation; BCG; yeast</t>
  </si>
  <si>
    <t>RAINBOW-TROUT; PERITONEAL-MACROPHAGES; IMMUNE-SYSTEM; FISH; TEMPERATURE; RICHARDSON; COD</t>
  </si>
  <si>
    <t>Macrophages adhered to round glass coverslips that had been implanted into the abdominal cavity of Notothenia coriiceps, collected from Admiralty Bay. King George Island, and removed and incubated is vitro for 4 h at 0degrees C at various intervals. The macrophages phagocytosed yeast Saccharomyces cerevisiae cells suspended in saline. Bi-nuclear macrophages were first observed after 6 h. The formation of giant cells and their phagocytic activity was observed only in fish which had been injected with 1 ml of Bacillus of Calmette and Guerin (BCG)-suspension 24 h before coverslip implantation and the coverslips removed 15 days after the implantation. Phagocytosis and the formation of giant cells in an Antarctic fish at 0degreess C is described for the first tune. (C) 2002 The Fisheries Society of the British Isles.</t>
  </si>
  <si>
    <t>Univ Sao Paulo, Inst Biomed Sci, Dept Histol &amp; Embryol, BR-05508900 Sao Paulo, Brazil; Kings Coll London, London W8 7AH, England; Univ Sao Paulo, Fac Zootech &amp; Food Engn, BR-13630000 Pirassununga, SP, Brazil</t>
  </si>
  <si>
    <t>Universidade de Sao Paulo; University of London; King's College London; Universidade de Sao Paulo</t>
  </si>
  <si>
    <t>Univ Sao Paulo, Inst Biomed Sci, Dept Histol &amp; Embryol, Av Prof Lineu Prestes 1524, BR-05508900 Sao Paulo, Brazil.</t>
  </si>
  <si>
    <t>jrmes@usp.br</t>
  </si>
  <si>
    <t>Silva, J.R.M.C./H-7496-2016; Borges, João CS/B-9057-2012; Hernandez-Blazquez, Francisco Javier/K-5450-2014; Porto-Neto, Laercio/D-2594-2012</t>
  </si>
  <si>
    <t>Silva, J.R.M.C./0000-0002-1687-8526; Shimada Borges, Joao Carlos/0000-0002-3947-4655; Porto-Neto, Laercio/0000-0002-3536-8265</t>
  </si>
  <si>
    <t>1095-8649</t>
  </si>
  <si>
    <t>10.1006/jfbi.2001.1858</t>
  </si>
  <si>
    <t>532ZN</t>
  </si>
  <si>
    <t>WOS:000174505100016</t>
  </si>
  <si>
    <t>Nichols, DS; McMeekin, TA</t>
  </si>
  <si>
    <t>Biomarker techniques to screen for bacteria that produce polyunsaturated fatty acids</t>
  </si>
  <si>
    <t>JOURNAL OF MICROBIOLOGICAL METHODS</t>
  </si>
  <si>
    <t>4th International Symposium on the Interface between Analytical Chemistry and Microbiology</t>
  </si>
  <si>
    <t>JUN 04-08, 2000</t>
  </si>
  <si>
    <t>BRETAGNE, FRANCE</t>
  </si>
  <si>
    <t>biomarker; polyunsaturated fatty acid; psychrophile; halophile; Shewanella</t>
  </si>
  <si>
    <t>ICE MICROBIAL COMMUNITIES; ANTARCTIC SEA-ICE; SP. NOV.; EICOSAPENTAENOIC ACID; MCMURDO-SOUND; MARINE-BACTERIA; COMB. NOV; DIVERSITY; SEDIMENT; PHOSPHOLIPIDS</t>
  </si>
  <si>
    <t>The production of polyunsaturated fatty acids (PUFA) by bacteria has been firmly established for over two decades although it is still commonly ignored. Investigations of Antarctic sea ice have revealed a high diversity of novel bacterial taxa with the ability to produce PUFA. The majority are psychrophilic (requiring low temperatures for growth) and halophilic (requiring the presence of salts for growth), in contrast to the bacterial community present in the underlying water column. Specific fatty acids may be used as indicators of PUFA-producing bacteria in environmental samples. Structural studies of bacterial phospholipids have been particularly revealing in suggesting biomarkers specific for prokaryotic PUFA input. The use of negative ion fast atom bombardment tandem mass spectrometry for the analysis of bacterial phospholipids has identified species specific for certain groups of bacterial PUFA producers. The phylogeny of PUFA production in the gamma-Proteobacteria also suggests the future use of PUFA genes for the assessment of marine bacterial biodiversity. (C) 2002 Elsevier Science B.V. All rights reserved.</t>
  </si>
  <si>
    <t>Univ Tasmania, Sch Agr Sci, Hobart, Tas 7001, Australia; Univ Tasmania, Antarct CRC, Hobart, Tas 7001, Australia</t>
  </si>
  <si>
    <t>Nichols, DS (corresponding author), Univ Tasmania, Sch Agr Sci, GPO Box 252-54, Hobart, Tas 7001, Australia.</t>
  </si>
  <si>
    <t>Nichols, David/0000-0002-8066-3132</t>
  </si>
  <si>
    <t>0167-7012</t>
  </si>
  <si>
    <t>J MICROBIOL METH</t>
  </si>
  <si>
    <t>J. Microbiol. Methods</t>
  </si>
  <si>
    <t>10.1016/S0167-7012(01)00320-7</t>
  </si>
  <si>
    <t>Biochemical Research Methods; Microbiology</t>
  </si>
  <si>
    <t>Biochemistry &amp; Molecular Biology; Microbiology</t>
  </si>
  <si>
    <t>515FC</t>
  </si>
  <si>
    <t>WOS:000173483900008</t>
  </si>
  <si>
    <t>Barnes, PRF; Mulvaney, R; Wolff, EW; Robinson, K</t>
  </si>
  <si>
    <t>A technique for the examination of polar ice using the scanning electron microscope</t>
  </si>
  <si>
    <t>JOURNAL OF MICROSCOPY-OXFORD</t>
  </si>
  <si>
    <t>Antarctic; dust; etching; Greenland; ice; pre-etching; scanning electron microscopy; technique; X-ray analysis</t>
  </si>
  <si>
    <t>CRYSTALS; SNOW</t>
  </si>
  <si>
    <t>The microstructure and location of impurities in polar ice are of great relevance to ice core studies. We describe a reliable method to examine ice in the scanning electron microscope (SEM). Specimens were cut in a cold room and could have their surfaces altered by sublimation either before (pre-etching) or after (etching) introduction to the cryo-chamber of the SEM. Pre-etching was used to smooth surfaces, whilst etching stripped away layers from the specimen surface, aiding the location of particles in situ, and allowing embedded structures to be revealed. X-ray analysis was used to determine the composition of localized impurities, which in some cases had been concentrated on the surface by etching. Examining uncoated surfaces was found to be advantageous and did not detract from qualitative X-ray analysis. Imaging uncoated was performed at low accelerating voltages and probe currents to avoid problems of surface charging.</t>
  </si>
  <si>
    <t>British Antarctic Survey, Natl Environm Res Council, Cambridge CB3 0ET, England</t>
  </si>
  <si>
    <t>Barnes, PRF (corresponding author), British Antarctic Survey, Natl Environm Res Council, High Cross,Madingley Rd, Cambridge CB3 0ET, England.</t>
  </si>
  <si>
    <t>Wolff, Eric W/D-7925-2014; Mulvaney, Robert/K-3929-2012; Barnes, Piers/F-1558-2010</t>
  </si>
  <si>
    <t>Wolff, Eric W/0000-0002-5914-8531; Mulvaney, Robert/0000-0002-5372-8148; Barnes, Piers/0000-0002-7537-8759</t>
  </si>
  <si>
    <t>0022-2720</t>
  </si>
  <si>
    <t>J MICROSC-OXFORD</t>
  </si>
  <si>
    <t>J. Microsc.-Oxf.</t>
  </si>
  <si>
    <t>10.1046/j.0022-2720.2001.00981.x</t>
  </si>
  <si>
    <t>Microscopy</t>
  </si>
  <si>
    <t>526XR</t>
  </si>
  <si>
    <t>WOS:000174155600002</t>
  </si>
  <si>
    <t>Renfrew, IA; Moore, GWK; Guest, PS; Bumke, K</t>
  </si>
  <si>
    <t>A comparison of surface layer and surface turbulent flux observations over the Labrador Sea with ECMWF analyses and NCEP reanalyses</t>
  </si>
  <si>
    <t>DEEP CONVECTION; WATER-VAPOR; WIND STRESS; HEAT-FLUX; OCEAN; EVAPORATION; COEFFICIENT; TEMPERATURE; MODEL</t>
  </si>
  <si>
    <t>Comparisons are made between a time series of meteorological surface layer observational data taken on board the R/V Knorr, and model analysis data from the European Centre for Medium-Range Weather Forecasting (ECMWF) and the National Centers for Environmental Prediction (NCEP). The observational data were gathered during a winter cruise of the R/V Knorr, from 6 February to 13 March 1997, as part of the Labrador Sea Deep Convection Experiment. The surface layer observations generally compare well with both model representations of the wintertime atmosphere. The biases that exist are mainly related to discrepancies in the sea surface temperature or the relative humidity of the analyses. The surface layer observations are used to generate bulk estimates of the surface momentum flux, and the surface sensible and latent heat fluxes. These are then compared with the model-generated turbulent surface fluxes. The ECMWF surface sensible and latent heat flux time series compare reasonably well, with overestimates of only 13% and 10%, respectively. In contrast, the NCEP model overestimates the bulk fluxes by 51% and 27%, respectively. The differences between the bulk estimates and those of the two models are due to different surface heat flux algorithms. It is shown that the roughness length formula used in the NCEP reanalysis project is inappropriate for moderate to high wind speeds. Its failings are acute for situations of large air-sea temperature difference and high wind speed, that is, for areas of high sensible heat fluxes such as the Labrador Sea, the Norwegian Sea, the Gulf Stream, and the Kuroshio. The new operational NCEP bulk algorithm is found to be more appropriate for such areas. It is concluded that surface turbulent flux fields from the ECMWF are within the bounds of observational uncertainty and therefore suitable for driving ocean models. This is in contrast to the surface flux fields from the NCEP reanalysis project, where the application of a more suitable algorithm to the model surface-layer meteorological data is recommended.</t>
  </si>
  <si>
    <t>British Antarctic Survey, Cambridge CB3 0ET, England; Univ Toronto, Dept Phys, Toronto, ON, Canada; Naval Postgrad Sch, Monterey, CA USA; Univ Kiel, Inst Meereskunde, D-2300 Kiel, Germany</t>
  </si>
  <si>
    <t>UK Research &amp; Innovation (UKRI); Natural Environment Research Council (NERC); NERC British Antarctic Survey; University of Toronto; United States Department of Defense; United States Navy; Naval Postgraduate School; University of Kiel</t>
  </si>
  <si>
    <t>Renfrew, Ian A/E-4057-2010; Moore, George Kent/D-8518-2011</t>
  </si>
  <si>
    <t>10.1175/1520-0485(2002)032&lt;0383:ACOSLA&gt;2.0.CO;2</t>
  </si>
  <si>
    <t>523UW</t>
  </si>
  <si>
    <t>WOS:000173976500002</t>
  </si>
  <si>
    <t>Roscoe, HK; Hill, JGT</t>
  </si>
  <si>
    <t>Vertical resolution of oversampled limb-sounding measurements from satellites and aircraft</t>
  </si>
  <si>
    <t>JOURNAL OF QUANTITATIVE SPECTROSCOPY &amp; RADIATIVE TRANSFER</t>
  </si>
  <si>
    <t>inversion; limb-sounding; resolution</t>
  </si>
  <si>
    <t>INVERSION</t>
  </si>
  <si>
    <t>Measurements of trace gases by remote sensors which observe the atmospheric limb have a natural vertical resolution of 2-3 km. With a typical field of view this becomes 3-5 km. Oversampling, combined with acceptance of a degradation in random error, improves the vertical resolution. We investigate the improvement by means of Backus-Gilbert trade-off curves. Sacrificing a factor 10 in random error results in resolutions of 1.5 km for measurements of weak absorption or emission, and I km for strong pressure-broadened absorption. Weighting function calculations are technically more difficult for airborne than for satellite limb-sounders; oversampled functions cause more technical difficulty. (C) 2001 Elsevier Science Ltd. All rights reserved.</t>
  </si>
  <si>
    <t>British Antarctic Survey, NERC, Cambridge CB3 03T, England</t>
  </si>
  <si>
    <t>Roscoe, HK (corresponding author), British Antarctic Survey, NERC, High Cross,Madingley Rd, Cambridge CB3 03T, England.</t>
  </si>
  <si>
    <t>0022-4073</t>
  </si>
  <si>
    <t>J QUANT SPECTROSC RA</t>
  </si>
  <si>
    <t>J. Quant. Spectrosc. Radiat. Transf.</t>
  </si>
  <si>
    <t>FEB 1</t>
  </si>
  <si>
    <t>10.1016/S0022-4073(01)00121-2</t>
  </si>
  <si>
    <t>Optics; Spectroscopy</t>
  </si>
  <si>
    <t>493MV</t>
  </si>
  <si>
    <t>WOS:000172228000003</t>
  </si>
  <si>
    <t>Abarca, JF; Casiccia, CC; Zamorano, FD</t>
  </si>
  <si>
    <t>Increase in sunburns and photosensitivity disorders at the edge of the Antarctic ozone hole, Southern Chile, 1986-2000</t>
  </si>
  <si>
    <t>JOURNAL OF THE AMERICAN ACADEMY OF DERMATOLOGY</t>
  </si>
  <si>
    <t>PUNTA ARENAS; ULTRAVIOLET-RADIATION; GREENHOUSE GASES; DEPLETION; LATITUDES</t>
  </si>
  <si>
    <t>Background. Over the past 15 years Punta Arenas, Chile, a medium-sized city located on the extreme southern tip of South America, has repeatedly been exposed to acute, sudden episodes of highly increased levels of ultraviolet B (UVB) 280-320 nm radiation because of the passage of the spring Antarctic Ozone Hole overhead, or nearby. Objective: Our purpose was to observe the relationship between episodes of ozone depletion, increased UVB radiation, and sunburns and photosensitivity disorders in Punta Arenas, Chile, during spring. Methods: Incidence of photosensitivity disorders and sunburns was registered by dermatologists during each of the past 15 springs. Local data of sudden, severe ozone depletions (&lt;250 Dobson units) and the corresponding increase of UVB radiation were reviewed. Results: Patients with sunburn increased significantly during the austral spring of 1999 (P &lt; .01). This was especially noticeable (29/31 cases) on weekends with ozone depletion, and increased UVB radiation (P &lt; .01) occurred on the Sundays Oct 31, Nov 21, and Dec 5, 1999. The incidence of photosensitivity disorders, although statistically not significant, increased 51% over the past 7 years. Conclusions: An acute impact on human health (sunburn) occurred because of abrupt ozone depletion and the accompanying increase in UVB during the mid and late austral spring of 1999. Most sunburns (93.5%) occurred on weekends, Ozone levels as well as seasonal and recreational factors played a mayor role in the increase in sunburns. The increase in radiation at 300 nm, the most carcinogenic wavelength, on days under the Antarctic ozone hole is a matter of special concern.</t>
  </si>
  <si>
    <t>Hosp Reg Punta Arenas, Dermatol Unit, Punta Arenas, Chile; Univ Magallanes, Ozone &amp; UVB Radiat Monitoring Lab, Punta Arenas, Chile</t>
  </si>
  <si>
    <t>Universidad de Magallanes</t>
  </si>
  <si>
    <t>Abarca, JF (corresponding author), Mardones 0350, Punta Arenas, Chile.</t>
  </si>
  <si>
    <t>MOSBY-ELSEVIER</t>
  </si>
  <si>
    <t>360 PARK AVENUE SOUTH, NEW YORK, NY 10010-1710 USA</t>
  </si>
  <si>
    <t>0190-9622</t>
  </si>
  <si>
    <t>1097-6787</t>
  </si>
  <si>
    <t>J AM ACAD DERMATOL</t>
  </si>
  <si>
    <t>J. Am. Acad. Dermatol.</t>
  </si>
  <si>
    <t>10.1067/mjd.2002.118556</t>
  </si>
  <si>
    <t>Dermatology</t>
  </si>
  <si>
    <t>519ED</t>
  </si>
  <si>
    <t>WOS:000173711200003</t>
  </si>
  <si>
    <t>Hodum, PJ</t>
  </si>
  <si>
    <t>Breeding biology of high-latitude Antarctic fulmarine petrels (Procellariidae)</t>
  </si>
  <si>
    <t>breeding; fulmarine petrels; Antarctic</t>
  </si>
  <si>
    <t>THALASSOICA-ANTARCTICA; PAGODROMA-NIVEA</t>
  </si>
  <si>
    <t>This paper provides basic information about the breeding biology of four species of Antarctic fulmarine petrels breeding in the Rauer Islands, East Antarctica: Antarctic fulmar Fulmarus glacialoides, Antarctic petrel Thalassoica antarctica. Cape petrel Daption capense. and snow petrel Pagodroma nivea. Timing and duration of the nesting cycle, incubation and nestling periods, and timing of breeding were determined over three consecutive breeding cycles. Comparing these data with those of other populations revealed that the duration of breeding showed little interannual and spatial variation within the four species. The length of the breeding period varied between the species, with incubation period and nesting cycle length positively related to adult body mass. Nestling period length also differed between the species but was unrelated to adult body mass. Breeding period lengths for these fulmarine petrels were shorter than those for other procellarids and albatrosses. Compressed and invariant breeding cycles of Antarctic fulmarine petrels may have evolved in response to a short season which limits breeding and to opportunities presented by highly abundant food sources.</t>
  </si>
  <si>
    <t>Univ Calif Davis, Dept Avian Sci, Livermore, CA 95616 USA; Australian Antarctic Div, Kingston, Tas 7050, Australia</t>
  </si>
  <si>
    <t>University of California System; University of California Davis; Australian Antarctic Division</t>
  </si>
  <si>
    <t>Hodum, PJ (corresponding author), Calif State Univ Long Beach, Dept Biol Sci, 1250 Bellflower Blvd, Long Beach, CA 90840 USA.</t>
  </si>
  <si>
    <t>10.1017/S0952836902000171</t>
  </si>
  <si>
    <t>543JB</t>
  </si>
  <si>
    <t>WOS:000175097300001</t>
  </si>
  <si>
    <t>Atwater-Singer, M</t>
  </si>
  <si>
    <t>Tom Crean: Unsung hero of the Scott and Shackleton Antarctic Expeditions.</t>
  </si>
  <si>
    <t>LIBRARY JOURNAL</t>
  </si>
  <si>
    <t>Univ Evansville, Evansville, IN 47702 USA</t>
  </si>
  <si>
    <t>University of Evansville</t>
  </si>
  <si>
    <t>Atwater-Singer, M (corresponding author), Univ Evansville, Evansville, IN 47702 USA.</t>
  </si>
  <si>
    <t>BOWKER MAGAZINE GROUP CAHNERS MAGAZINE DIVISION</t>
  </si>
  <si>
    <t>249 W 17TH ST, NEW YORK, NY 10011 USA</t>
  </si>
  <si>
    <t>0363-0277</t>
  </si>
  <si>
    <t>LIBR J</t>
  </si>
  <si>
    <t>Libr. J.</t>
  </si>
  <si>
    <t>Information Science &amp; Library Science</t>
  </si>
  <si>
    <t>516AG</t>
  </si>
  <si>
    <t>WOS:000173528700172</t>
  </si>
  <si>
    <t>Barlow, KE; Boyd, IL; Croxall, JP; Reid, K; Staniland, IJ; Brierley, AS</t>
  </si>
  <si>
    <t>Are penguins and seals in competition for Antarctic krill at South Georgia?</t>
  </si>
  <si>
    <t>FUR SEALS; MACARONI PENGUINS; INTERANNUAL VARIABILITY; ARCTOCEPHALUS-GAZELLA; EUDYPTES-CHRYSOLOPHUS; BIRD-ISLAND; INTERSPECIFIC COMPETITION; ECOLOGICAL SEGREGATION; MARINE-ENVIRONMENT; FIELD EXPERIMENTS</t>
  </si>
  <si>
    <t>The Antarctic fur seal (Arctocephalus gazella) and macaroni penguin (Eudyptes chrysolophus) are sympatric top predators that occur in the Southern Ocean around South Georgia where they are, respectively, the main mammal and bird consumers of Antarctic krill (Euphausia superba). In recent years the population of fur seals has increased, whereas that of macaroni penguins has declined. Both species feed on krill of similar size ranges, dive to similar depths and are restricted in their foraging range at least while provisioning their offspring. In this study we test the hypothesis that the increased fur seal population at South Georgia may have resulted in greater competition for the prey of macaroni penguins, leading to the decline in their population. We used: (1) satellite-tracking data to investigate the spatial separation of the Bird Island populations of these two species whilst at sea during the breeding seasons of 1999 and 2000 and (2) diet data to assess potential changes in their trophic niches between 1989 and 2000. Foraging ranges of the two species showed considerable overlap in both years, but the concentrations of foraging activity were significantly segregated spatially. The size of krill taken by both species was very similar, but over the last 12 years the prevalence of krill in their diets has diverged, with nowadays less krill in the diet of macaroni penguins than in that of Antarctic fur seals. Despite a significant degree of segregation in spatial resource use by the study populations, it is likely that the South Georgia populations of Antarctic fur seal and macaroni penguin exploit the same krill population during their breeding season. For explaining the opposing population trends of the two species, the relative contributions of independent differential response to interannual variation in krill availability and of interspecies competition cannot be resolved with available evidence. The likely competitive advantage of Antarctic fur seals will be enhanced as their population continues to increase, particularly in years of krill scarcity.</t>
  </si>
  <si>
    <t>Croxall, JP (corresponding author), British Antarctic Survey, NERC, High Cross,Madingley Rd, Cambridge CB3 0ET, England.</t>
  </si>
  <si>
    <t>Staniland, Iain/I-4725-2012; Brierley, Andrew/G-8019-2011</t>
  </si>
  <si>
    <t>Staniland, Iain/0000-0003-2736-9134; Brierley, Andrew/0000-0002-6438-6892</t>
  </si>
  <si>
    <t>10.1007/s00227-001-0691-7</t>
  </si>
  <si>
    <t>535XX</t>
  </si>
  <si>
    <t>WOS:000174672600001</t>
  </si>
  <si>
    <t>Kawall, HG; Torres, JJ; Sidell, BD; Somero, GN</t>
  </si>
  <si>
    <t>Metabolic cold adaptation in Antarctic fishes: evidence from enzymatic activities of brain</t>
  </si>
  <si>
    <t>MESOPELAGIC FISHES; ENZYMIC ACTIVITIES; MUSCLE; ULTRASTRUCTURE; MAINTENANCE; PROTEINS; DEPTH</t>
  </si>
  <si>
    <t>To evaluate the concept of metabolic cold adaptation (MCA) in fishes, we compared - in brain, red muscle, and white muscle of Antarctic notothenioid fishes and tropical/subtropical fishes - the activities of two enzymes of ATP-generating pathways, citrate synthase (CS), an indicator of citric acid cycle activity (aerobic metabolism), and lactate dehydrogenase (LDH), an indicator of potential for ATP production through anaerobic glycolysis. Brain was chosen because unlike locomotory muscle, its metabolic activity is not likely to be influenced by a species' level of activity or nutritional status, so MCA should be readily observed if present. CS and LDH activities in brain exhibited a high level of MCA, but compensation to temperature was not complete (48% for CS; 46% for LDH). CS and LDH activities in red and white muscle varied widely among species, according to the general level of locomotory activity. The 'mode of life'-related enzymatic activities in locomotory muscle show that study of MCA at the level of whole organism metabolism is fraught with difficulties and experimental ambiguities. In contrast, the low variation among species within each group in enzymatic activities in brain, and the large differences between groups in CS and LDH activity, show that brain is an excellent study system for evaluating metabolic compensation to temperature.</t>
  </si>
  <si>
    <t>Univ S Florida, Coll Marine Sci, St Petersburg, FL 33701 USA; Univ Maine, Sch Marine Sci, Orono, ME 04469 USA; Stanford Univ, Dept Biol Sci, Hopkins Marine Stn, Pacific Grove, CA 93950 USA</t>
  </si>
  <si>
    <t>State University System of Florida; University of South Florida; University of Maine System; University of Maine Orono; Stanford University</t>
  </si>
  <si>
    <t>Torres, JJ (corresponding author), Univ S Florida, Coll Marine Sci, 140 7th Ave S, St Petersburg, FL 33701 USA.</t>
  </si>
  <si>
    <t>Somero, George/AAC-3321-2019</t>
  </si>
  <si>
    <t>Somero, George/0000-0003-1431-6455</t>
  </si>
  <si>
    <t>10.1007/s002270100695</t>
  </si>
  <si>
    <t>WOS:000174672600007</t>
  </si>
  <si>
    <t>Sañudo-Wilhelmy, SA; Olsen, KA; Scelfo, JM; Foster, TD; Flegal, AR</t>
  </si>
  <si>
    <t>Trace metal distributions off the Antarctic Peninsula in the Weddell Sea</t>
  </si>
  <si>
    <t>trace metal; Antarctic Peninsula; Weddell Sea</t>
  </si>
  <si>
    <t>NORTHEAST PACIFIC WATERS; SOUTHERN-OCEAN; ATLANTIC-OCEAN; DISSOLVED ALUMINUM; SHELF WATERS; CADMIUM; IRON; COPPER; LEAD; NICKEL</t>
  </si>
  <si>
    <t>Dissolved trace metals (Ag, Al, Cd, Co, Cu, Fe, Ni, Pb, and Zn), inorganic nutrients (PO4, H4SiO4), and chlorophyll a were measured at 19 stations along a surface water transect from the Antarctic Peninsula into the Weddell Sea. The range of concentrations of metals and nutrients measured along the western rim of the Weddell Sea were consistent with previous results from the Southern Ocean. Metal levels measured in the Weddell Sea showed two distinct patterns: (1) metals (Al, Co, and Pb) that generally had lower levels in the Weddell Sea; and (2) dissolved constituents (Ag, Cd, Cu, Fe, Ni, Zn, PO4, H4SiO4) that showed an enrichment in the Weddell Sea, as compared to other ocean basins, While this dichotomy suggested that high metal concentrations may result from natural processes, the impact of anthropogenic processes on metal levels in Antarctic waters is also evident. A comparison of the stable lead isotopic composition reported for surface waters of the:Weddell Sea and our Southern Hemisphere aerosol samples suggested that the cycling of Pb in. those waters has been influenced by industrial Pb from South America. The importance of biological activity on the cycling of bioactive metals in the Weddell Sea was suggested by the inverse relationship between chl a concentrations and trace metal residence time. A strong linear relationship between Cd and PO4 was observed, as in other oceans. The Cd/PO4 ratio along the western rim of the Weddell Sea was consistent with previous ratios reported for the northern part of the Weddell Sea and the Antarctic Circumpolar Current. However, those ratios were significantly higher than the previously reported Cd/PO4 ratio for the southern part of the Weddell Sea, suggesting that Cd/PO4 ratios within the same oceanographic basin are susceptible to temporal and spatial variability. We also showed that the Ag/Cu ratio could potentially be used as a geochemical tracer:of different water masses in the world ocean. The Ag/Cu ratio in the Weddell Sea was essentially the same as the ratio reported for the Pacific Ocean, suggesting that Weddell Sea surface waters may influence the composition of trace metals in subsurface waters of the Pacific. (C) 2002 Elsevier Science B.V. All rights reserved.</t>
  </si>
  <si>
    <t>SUNY Stony Brook, Marine Sci Res Ctr, Stony Brook, NY 11794 USA; Univ Calif Santa Cruz, Santa Cruz, CA 95064 USA; Univ Calif San Diego, Scripps Inst Oceanog, San Diego, CA 92103 USA</t>
  </si>
  <si>
    <t>State University of New York (SUNY) System; State University of New York (SUNY) Stony Brook; University of California System; University of California Santa Cruz; University of California System; University of California San Diego; Scripps Institution of Oceanography</t>
  </si>
  <si>
    <t>Sañudo-Wilhelmy, SA (corresponding author), SUNY Stony Brook, Marine Sci Res Ctr, Stony Brook, NY 11794 USA.</t>
  </si>
  <si>
    <t>PII S0304-4203(01)00084-6</t>
  </si>
  <si>
    <t>10.1016/S0304-4203(01)00084-6</t>
  </si>
  <si>
    <t>526NB</t>
  </si>
  <si>
    <t>WOS:000174135600006</t>
  </si>
  <si>
    <t>Antarctic penguin colonies threatened</t>
  </si>
  <si>
    <t>PII S0025-326X(02)00038-3</t>
  </si>
  <si>
    <t>532JN</t>
  </si>
  <si>
    <t>WOS:000174471300004</t>
  </si>
  <si>
    <t>Sandford, SA</t>
  </si>
  <si>
    <t>Concentrating Antarctic meteorites on blue ice fields - The Frontier Mountain meteorite trap</t>
  </si>
  <si>
    <t>METEORITICS &amp; PLANETARY SCIENCE</t>
  </si>
  <si>
    <t>1086-9379</t>
  </si>
  <si>
    <t>1945-5100</t>
  </si>
  <si>
    <t>METEORIT PLANET SCI</t>
  </si>
  <si>
    <t>Meteorit. Planet. Sci.</t>
  </si>
  <si>
    <t>10.1111/j.1945-5100.2002.tb01100.x</t>
  </si>
  <si>
    <t>545XK</t>
  </si>
  <si>
    <t>WOS:000175242700001</t>
  </si>
  <si>
    <t>Folco, L; Capra, A; Chiappini, M; Frezzotti, M; Mellini, M; Tabacco, IE</t>
  </si>
  <si>
    <t>The frontier mountain meteorite trap (Antarctica)</t>
  </si>
  <si>
    <t>BLUE-ICE FIELDS; VICTORIA-LAND; TERRESTRIAL AGES; ALLAN HILLS; H-CHONDRITE; BULLETIN; FINDS; MASS; INFALL</t>
  </si>
  <si>
    <t>The Frontier Mountain blue lee field is an important Antarctic meteorite trap which has yielded 472 meteorite specimens since its discovery in 1984. Remote sensing analyses and field campaigns from 1993 to 1999 have furnished new glaciological data on ice flow, ice thickness, bedrock topography, ice ablation and surface mass transport by wind, along with detailed descriptions of the field situation at the trap. This solid set of data combined with an updated meteorite distribution map and terrestrial ages available from literature allows us to better describe the nature of the concentration mechanism. In particular, we observe that the meteorite trap forms in a blue ice field (1) located upstream of an absolute and a shallow sub-ice barriers; (2) characterized by compressive ice flow with horizontal velocities decreasing from 100 to &lt; 10 cm/year on approaching the obstacle; (3) undergoing mean ablation rates of 6.5 cm/year; (4) nourished by a limited snow accumulation zone extending similar to20 km upstream of the blue ice area. We also draw the following conclusions: (1) the origin of the meteorite trap can be explained according to the present-day glaciological situation; (2) the meteorite concentration develops according to the general principles of the ice flow model; (3) the accumulation model can be described as stagnant ice or slow-moving ice against an absolute and submerged barriers, according to the descriptive schemes present in literature; (4) the Frontier Mountain ice field is an effective trap for meteorites weighing more than similar to200 g; for smaller masses, the combination of wind and glacial drift may remove meteorites in less than a few tens of thousands of years; (5) although the activation age of the Frontier Mountain trap is not yet constrained, we infer that one of the most important findsites may be as old as 50 ka, predating the last glacial maximum.</t>
  </si>
  <si>
    <t>Univ Siena, Museo Nazl Antartide, I-53100 Siena, Italy; Politecn Bari, I-70125 Bari, Italy; Ist Nazl Geofis &amp; Vulcanol, I-00143 Rome, Italy; ENEA, Ctr Ric Casaccia, Ente Nuove Tecnol Energia &amp; Ambiente, I-00060 Rome, Italy; Univ Siena, Dipartimento Sci Terra, I-53100 Siena, Italy; Univ Milan, Dipartimento Sci Terra, I-20129 Milan, Italy</t>
  </si>
  <si>
    <t>University of Siena; Politecnico di Bari; Istituto Nazionale Geofisica e Vulcanologia (INGV); Italian National Agency New Technical Energy &amp; Sustainable Economics Development; University of Siena; University of Milan</t>
  </si>
  <si>
    <t>Univ Siena, Museo Nazl Antartide, Via Laterina 8, I-53100 Siena, Italy.</t>
  </si>
  <si>
    <t>folco@unisi.it</t>
  </si>
  <si>
    <t>Folco, Luigi/AAA-6351-2020; Capra, Alessandro/L-9743-2015; FREZZOTTI, Massimo/AAK-7275-2020; Folco, Luigi/AAB-8586-2021</t>
  </si>
  <si>
    <t>FREZZOTTI, Massimo/0000-0002-2461-2883;</t>
  </si>
  <si>
    <t>10.1111/j.1945-5100.2002.tb01105.x</t>
  </si>
  <si>
    <t>WOS:000175242700006</t>
  </si>
  <si>
    <t>Hua, X; Wang, JH; Buseck, PR</t>
  </si>
  <si>
    <t>Fine-grained rims in the Allan Hills 81002 and Lewis Cliff 90500 CM2 meteorites: Their origin and modification</t>
  </si>
  <si>
    <t>CARBONACEOUS CHONDRITE METEORITES; UNEQUILIBRATED CO3 CHONDRITE; PARENT-BODY PROCESSES; RARE-EARTH ELEMENTS; AQUEOUS ALTERATION; ALLENDE METEORITE; TYPE-3 CHONDRITES; TRACE-ELEMENTS; CV3 CHONDRITE; SOLAR NEBULA</t>
  </si>
  <si>
    <t>Antarctic CM meteorites Allan Hills (ALH) 81002 and Lewis Cliff (LEW) 90500 contain abundant fine-grained rims (FGRs) that surround a variety of coarse-grained objects. FGRs from both meteorites have similar compositions and petrographic features, independent of their enclosed objects. The FGRs are chemically homogeneous at the 10 mum scale for major and minor elements and at the 25 mum scale for trace elements. They display accretionary features and contain large amounts of volatiles, presumably water. They are depleted in Ca, Mn, and S but enriched in P. All FGRs show a slightly fractionated rare earth element (REE) pattern, with enrichments of Gd and Yb and depletion of Er. Gd is twice as abundant as Er. Our results indicate that those FGRs are not genetically related to their enclosed cores. They were sampled from a reservoir of homogeneously mixed dust, prior to accretion to their parent body. The rim materials subsequently experienced aqueous alteration under identical conditions. Based on their mineral, textural, and especially chemical similarities, we conclude that ALH 81002 and LEW 90500 likely have a similar or identical source.</t>
  </si>
  <si>
    <t>Arizona State Univ, Dept Geol Sci, Tempe, AZ 85287 USA; Carnegie Inst Washington, Dept Terr Magnetism, Washington, DC 20015 USA; Arizona State Univ, Dept Chem Biochem, Tempe, AZ 85287 USA</t>
  </si>
  <si>
    <t>Arizona State University; Arizona State University-Tempe; Carnegie Institution for Science; Arizona State University; Arizona State University-Tempe</t>
  </si>
  <si>
    <t>Hua, X (corresponding author), Arizona State Univ, Dept Geol Sci, Box 871404, Tempe, AZ 85287 USA.</t>
  </si>
  <si>
    <t>Wang, Jianhua/D-6500-2011</t>
  </si>
  <si>
    <t>Wang, Jianhua/0000-0002-7671-2413</t>
  </si>
  <si>
    <t>METEORITICAL SOC</t>
  </si>
  <si>
    <t>FAYETTEVILLE</t>
  </si>
  <si>
    <t>DEPT CHEMISTRY/BIOCHEMISTRY, UNIV ARKANSAS, FAYETTEVILLE, AR 72701 USA</t>
  </si>
  <si>
    <t>10.1111/j.1945-5100.2002.tb01106.x</t>
  </si>
  <si>
    <t>WOS:000175242700007</t>
  </si>
  <si>
    <t>Kooyman, GL</t>
  </si>
  <si>
    <t>Evolutionary and ecological aspects of some Antarctic and sub-Antarctic penguin distributions</t>
  </si>
  <si>
    <t>OECOLOGIA</t>
  </si>
  <si>
    <t>Aptenodytes; Eudyptes; platform transmitter terminal; Pygoscelis; time-depth recorder</t>
  </si>
  <si>
    <t>TRACKED KING PENGUINS; SOUTH ORKNEY ISLANDS; EMPEROR PENGUINS; APTENODYTES-PATAGONICUS; CHINSTRAP PENGUINS; ADELIE PENGUINS; DIVING BEHAVIOR; BREEDING-SEASON; EUDYPTES-CHRYSOLOPHUS; PYGOSCELIS-ANTARCTICA</t>
  </si>
  <si>
    <t>Penguins probably originated in the core of Gondwanaland when South America, Africa, and Antarctica were just beginning to separate. As the continents drifted apart, the division filled with what became the southern ocean. One of the remaining land masses moved south and was caught at the pole by the Earth's rotation. It became incrusted with ice and is now known as East Antarctica. Linking it to South America was a series of submerged mountain ranges that formed a necklace of islands. The northern portion of the necklace, called the Scotia Are, is now the fertile crescent of the Southern Ocean. The greatest numbers and biomass of penguins are found here as well as that of krill, the primary prey species of most penguins, and many other marine predators, Today penguins are found throughout the sub-Antarctic islands and around the entire Antarctic continent. Using satellite transmitters and time-depth recorders, while taking advantage of the parental dedication of breeding birds, numerous investigators have described foraging habits of several species of penguins. The information obtained is labor intensive and costly so that studies are restricted to certain species, areas and seasons. Here I review the patterns evident among six of the most abundant and completely Studied of the penguins. The variation in behavior is considerable from those species that seldom dive deeper than 20 m in search of prey to those that will dive to depths &gt;500 m to catch mesopelagic fish and squid. Foraging trips from breeding colonies vary among species and with the season. Often the birds travel no more than 30 km and at other times the trips may exceed 600 km. Sub-Antarctic species often reach more productive waters near or within the Antarctic Polar Front zone, where the mixing of Antarctic and sub-Antarctic waters provide rich resources for their prey. Antarctic species usually remain close to shore, along the continental slope, or near the sea ice edge. Less is known about penguins during the pelagic phase between breeding cycles. What we do know is surprising in regard to their dispersal, which ranges from hundreds to thousands of kilometers from the breeding colonies.</t>
  </si>
  <si>
    <t>Kooyman, GL (corresponding author), Univ Calif San Diego, Scripps Inst Oceanog, Scholander Hall 0204, La Jolla, CA 92093 USA.</t>
  </si>
  <si>
    <t>gkooyman@ucsd.edu</t>
  </si>
  <si>
    <t>, gerald/0000-0002-8872-2950</t>
  </si>
  <si>
    <t>0029-8549</t>
  </si>
  <si>
    <t>Oecologia</t>
  </si>
  <si>
    <t>10.1007/s00442-001-0836-x</t>
  </si>
  <si>
    <t>536HY</t>
  </si>
  <si>
    <t>WOS:000174695700001</t>
  </si>
  <si>
    <t>Bianchini, G; Cortesi, U; Palchetti, L</t>
  </si>
  <si>
    <t>Emission Fourier transform spectroscopy for the remote sensing of the atmosphere</t>
  </si>
  <si>
    <t>OPTICS AND LASERS IN ENGINEERING</t>
  </si>
  <si>
    <t>Fourier transform spectroscopy; emission spectroscopy; Earth observation; stratospheric chemistry</t>
  </si>
  <si>
    <t>Fourier transform spectrometers (FTS), thanks to their intrinsic advantages of high throughput, high spectral resolution and multiplex acquisition of spectral channels, offer a powerful tool for the characterisation of the Earth's atmosphere. The use of photon noise limited detectors in FTS instruments operating in the middle/far infrared spectral region permits high sensitivity emission spectroscopy measurements, without the limitations arising from the use of an external radiation source. The wide operating spectral range of FTS instruments makes possible simultaneous detection of different atmospheric chemical species that show rotational and vibrational spectral bands in the middle/far infrared region. Spatially resolved measurements of the concentration of the interesting species are of fundamental interest in the study of local phenomena in atmospheric chemistry and physics, and can be obtained through the use of various observation and data inversion techniques. Among these, the best results in terms of vertical resolution are achieved through the limb sounding observation technique from airborne platform. As an example of possibilities offered by the above considered technique, results obtained from the SAFIRE-A (Spectroscopy of the Atmosphere using Far InfraRed Emission-Airborne) during the Antarctic campaign APE-GAIA (Airborne Polar Experiment-Geophysica Aircraft In Antarctica, Ushuaia, Argentina, September-October, 1999) are presented. (C) 2002 Elsevier Science Ltd. All rights reserved.</t>
  </si>
  <si>
    <t>Ist Ric Onde Elettromagnet Nello Carrara, I-50127 Florence, Italy</t>
  </si>
  <si>
    <t>Ist Ric Onde Elettromagnet Nello Carrara, Via Panciatichi 64, I-50127 Florence, Italy.</t>
  </si>
  <si>
    <t>gb@iroc.fi.cnr.it</t>
  </si>
  <si>
    <t>Bianchini, Giovanni/ABD-3585-2020; Cortesi, Ugo/D-2704-2012; PALCHETTI, LUCA/O-1270-2015</t>
  </si>
  <si>
    <t>Bianchini, Giovanni/0000-0002-5400-7721; Cortesi, Ugo/0000-0002-2827-5239; PALCHETTI, LUCA/0000-0003-4022-8125</t>
  </si>
  <si>
    <t>0143-8166</t>
  </si>
  <si>
    <t>1873-0302</t>
  </si>
  <si>
    <t>OPT LASER ENG</t>
  </si>
  <si>
    <t>Opt. Lasers Eng.</t>
  </si>
  <si>
    <t>FEB-MAR</t>
  </si>
  <si>
    <t>10.1016/S0143-8166(01)00083-5</t>
  </si>
  <si>
    <t>516BW</t>
  </si>
  <si>
    <t>WOS:000173532500009</t>
  </si>
  <si>
    <t>Billups, K; Schrag, DP</t>
  </si>
  <si>
    <t>Paleotemperatures and ice volume of the past 27 Myr revisited with paired Mg/Ca and 18O/16O measurements on benthic foraminifera -: art. no. 1003</t>
  </si>
  <si>
    <t>paleoceanography; geochemistry; stable isotopes; trace elements</t>
  </si>
  <si>
    <t>GLACIAL-INTERGLACIAL CHANGES; SEA-SURFACE TEMPERATURE; PLANKTONIC-FORAMINIFERA; CHEMICAL-COMPOSITION; SR/CA RATIOS; MAGNESIUM; MIOCENE; SEAWATER; OXYGEN; STRONTIUM</t>
  </si>
  <si>
    <t>[1] We explore the applicability of paired Mg/Ca and O-18/O-16 measurements on benthic foraminifera from Southern Ocean site 747 to palcoceanographic reconstructions on pre-Pleistocene timescales. We focus on the late Oligocene through Pleistocene (27-0 Ma) history of palcotemperatures and the evolution of the WO values of seawater (delta(18)O(sw)) at a temporal resolution of similar to100-200 kyr. Absolute paleotemperature estimates depend on assumptions of how Mg/Ca ratios of seawater have changed over the past 27 Myr, but relative changes that occur on geologically brief timescales are robust. Results indicate that at the Oligocene to Miocene boundary (23.8 Ma), temperatures lag the increase in global ice-volume deduced from benthic foraminiferal delta(18)O values, but the smaller-scale Miocene glaciations are accompanied by ocean cooling of similar to1degreesC. During the mid-Miocene phase of Antarctic ice sheet growth (similar to15-13 Ma), water temperatures cool by similar to3degreesC. Unlike the benthic foraminiferal delta(18)O values, which remain relatively constant thereafter. temperatures vary, (by 3degreesC) and reach maxima at similar to12 and similar to8.5 Ma. The onset of significant Northern Hemisphere glaciation during the late Pliocene is synchronous with an similar to4degreesC cooling at site 747. A comparison of our delta(18)O(sw) curve to the Haq et al. [1987] sea level curve yields excellent agreement between sequence boundaries and times of increasing seawater O-18/O-16 ratios. At similar to12-11 Ma in particular, when benthic foraminiferal delta(18)O values do not support a further increase in ice volume, the delta(18)O(sw) curve comes to a maximum that corresponds to a major mid-Miocene sea level regression. The agreement between the character of our Mg/Ca-based delta(18)O(sw) curve and sequence stratigraphy demonstrates that benthic foramaniferal Mg/Ca ratios can be used to trace the 8180, on pre-Pleistocene timescales despite a number of uncertainties related to poorly constrained temperature calibrations and paleoseawater Mg/Ca ratios. The Mg/Ca record also highlights that deep ocean temperatures can vary independently and unexpectedly from ice volume changes, which can lead to misinterpretations of the delta(18)O record.</t>
  </si>
  <si>
    <t>Univ Delaware, Coll Marine Sci, Lewes, DE 19958 USA; Harvard Univ, Dept Earth &amp; Planetary Sci, Lab Geochem Oceanog, Cambridge, MA 02138 USA</t>
  </si>
  <si>
    <t>University of Delaware; Harvard University</t>
  </si>
  <si>
    <t>Univ Delaware, Coll Marine Sci, Lewes, DE 19958 USA.</t>
  </si>
  <si>
    <t>kbillups@udel.edu</t>
  </si>
  <si>
    <t>10.1029/2000PA000567</t>
  </si>
  <si>
    <t>558WQ</t>
  </si>
  <si>
    <t>WOS:000175990500003</t>
  </si>
  <si>
    <t>Crosta, X; Shemesh, A</t>
  </si>
  <si>
    <t>Reconciling down core anticorrelation of diatom carbon and nitrogen isotopic ratios from the Southern Ocean</t>
  </si>
  <si>
    <t>Southern Ocean; paleoceanography; geochemistry; diatoms</t>
  </si>
  <si>
    <t>LAST GLACIAL MAXIMUM; EQUATORIAL PACIFIC-OCEAN; SEA-ICE; INTERGLACIAL CHANGES; ATMOSPHERIC PCO2; ANTARCTIC OCEAN; LATE-QUATERNARY; SURFACE-WATER; PRODUCTIVITY; CO2</t>
  </si>
  <si>
    <t>[1] Oceanic nutrient cycling in the Southern Ocean is supposed to have an important impact on glacial-interglacial atmospheric CO2 changes and global climate. In order to characterize such nutrient cycling over the last two climatic cycles we investigated carbon and nitrogen isotopic ratios of diatom-bound organic matter (delta(13)C(diat) and delta(15)N(diat)- respectively) in two cores retrieved form the Atlantic and Indian sectors of the Antarctic Ocean. The two cores show the same isotopic patterns. The delta(13)C(diat) values are depleted during glacial periods and enriched during interglacial periods, indicating lower productivity during cold times. The delta(15)N(diat) values are enriched during glacial periods and depleted during interglacial periods, arguing for greater nitrate utilization during cold times. Taken at face value, this apparent contradiction leads to opposite conclusions on the role of the Southern Ocean biological pump on the atmospheric CO, changes. However, the two sets of data can be reconciled by a sea ice plus mixing rate scenario that calls upon a balance between the effect Of Cutting off gas transfer at the ocean-atmosphere boundary and the effect of reducing vertical transport of nutrients through the pycnocline.</t>
  </si>
  <si>
    <t>Weizmann Inst Sci, Dept Environm Sci, Rehovot, Israel</t>
  </si>
  <si>
    <t>Weizmann Institute of Science</t>
  </si>
  <si>
    <t>Univ Bordeaux 1, Dept Geol &amp; Oceanog, UMR CNRS 5805 EPOC, Talence, France.</t>
  </si>
  <si>
    <t>crosta@geocean.u-bordeaux.fr</t>
  </si>
  <si>
    <t>10.1029/2000PA000565</t>
  </si>
  <si>
    <t>WOS:000175990500010</t>
  </si>
  <si>
    <t>Nel, DC; Ryan, PG; Crawford, RJM; Cooper, J; Huyser, OAW</t>
  </si>
  <si>
    <t>Population trends of albatrosses and petrels at sub-Antarctic Marion Island</t>
  </si>
  <si>
    <t>WHITE-CHINNED PETRELS; SOUTHERN INDIAN-OCEAN; LONGLINE FISHERY; SEABIRD MORTALITY; FUR SEALS; AFRICA</t>
  </si>
  <si>
    <t>We report on the population changes of five species of Procellariiform seabirds breeding at Marion Island: wandering albatross (Diomedea exulans), grey-headed albatross (Thalassarche chrysostoma), northern giant petrel (Macronectes halli), southern giant petrel (M. giganteus), and white-chinned petrel (Procellaria aequinoctalis). The four large surface-nesting species (wandering albatross, grey-headed albatross and the northern and southern giant petrel) show similar population trends over the last 16-18 years. All were stable or decreasing during the 1980s, followed by a recovery period during the early to mid-1990s. Recently, all species have once again stabilized or decreased in numbers. Population trends of wandering albatross at Marion Island were strongly correlated with other Indian Ocean populations, but were different from the Atlantic Ocean population. These similarities suggest a common cause and can be explained by changes in tuna (Thunnus spp.) longline fishing effort in the southern Indian Ocean. A recent increase in tuna longlining, as well as recent large-scale Illegal, Unregulated and Unreported (IUU) longline fishing for Patagonian toothfish (Dissostichus eleginoides) close to Marion Island, could be contributing to the recent decreases in some of these species. Adoption of mitigation measures and an effective means of dealing with IUU longline fishing seem necessary to reduce the potential impacts of longline fishing on populations of albatross and petrel.</t>
  </si>
  <si>
    <t>Univ Cape Town, Fitzpatrick Inst, ZA-7701 Rondebosch, South Africa; Marine &amp; Coastal Management, ZA-8012 Rogge Bay, South Africa; Univ Cape Town, Avian Demog Unit, ZA-7701 Rondebosch, South Africa</t>
  </si>
  <si>
    <t>University of Cape Town; University of Cape Town</t>
  </si>
  <si>
    <t>Nel, DC (corresponding author), BirdLife Int Seabird Conservat Programme, BirdLife S Africa, 27 Somerset Crescent,Lakeside, ZA-7945 Cape Town, South Africa.</t>
  </si>
  <si>
    <t>Fennell, Hannah/AAI-1408-2019</t>
  </si>
  <si>
    <t>10.1007/s003000100315</t>
  </si>
  <si>
    <t>529DU</t>
  </si>
  <si>
    <t>WOS:000174285400001</t>
  </si>
  <si>
    <t>Say, L; Gaillard, JM; Pontier, D</t>
  </si>
  <si>
    <t>Spatio-temporal variation in cat population density in a sub-Antarctic environment</t>
  </si>
  <si>
    <t>MARION-ISLAND; FERAL CATS; FELIS-CATUS; MACQUARIE-ISLAND; INDIAN-OCEAN; BIOLOGY; ECOLOGY</t>
  </si>
  <si>
    <t>We used the walked-line transect method for estimating the density of cats and coefficients of variation of density estimates in 4 contrasted sites on the main island of Iles Kerguelen between 1998 and 2000. Density estimates varied from 0.44 +/- 0.15 cats per km(2) to 2.42 +/- 0.23 cats per km(2) according to site and period. Coefficient of variation of density estimates ranged from 11.92% 1 0 to 34.76%. The line transect method was, therefore. an efficient method for monitoring the density of the cat population in a sub-Antarctic environment characterised by short vegetation. Our results suggest that cat population size at the main island of Iles Kerguelen (the total number of cats expected is around 7,000) is much lower than previously thought.</t>
  </si>
  <si>
    <t>Univ Lyon 1, CNRS, UMR 5558, F-69622 Villeurbanne, France</t>
  </si>
  <si>
    <t>Universite Claude Bernard Lyon 1; VetAgro Sup; Centre National de la Recherche Scientifique (CNRS); CNRS - Institute of Ecology &amp; Environment (INEE)</t>
  </si>
  <si>
    <t>Univ Lyon 1, CNRS, UMR 5558, 43 Blvd 11 Novembre 1918, F-69622 Villeurbanne, France.</t>
  </si>
  <si>
    <t>say@biomserv.univ-lyon1.fr</t>
  </si>
  <si>
    <t>Pontier, Dominique/0000-0003-4700-3543</t>
  </si>
  <si>
    <t>10.1007/s003000100316</t>
  </si>
  <si>
    <t>WOS:000174285400002</t>
  </si>
  <si>
    <t>Pawlowski, J; Fahrni, JF; Brykczynska, U; Habura, A; Bowser, SS</t>
  </si>
  <si>
    <t>Molecular data reveal high taxonomic diversity of allogromiid Foraminifera in Explorers Cove (McMurdo Sound, Antarctica)</t>
  </si>
  <si>
    <t>BENTHIC FORAMINIFERA; CRYPTIC SPECIATION; DNA-SEQUENCES; ECOLOGY; SYSTEMATICS; MORPHOLOGY; RATES</t>
  </si>
  <si>
    <t>Allogromiids are organic-walled or agglutinated, single-chambered Foraminifera, common in deep-sea and polar benthic communities. The simple forms and paucity of distinctive features make allogromiid identification difficult by traditional means. Molecular phylogenetic methods offer alternative tools for species identification and are used here to investigate allogromiid diversity. We obtained 135 partial small-subunit ribosomal DNA sequences of allogromiids collected in Explorers Cove, McMurdo Sound, Antarctica. In contrast to the 27 morphotypes identified, phylogenetic analysis revealed 49 molecular types (considered separate species) that differ by more than 5% of sequence divergence. The 49 genetic types form 28 molecular supra-groups that differ by more than 20% and probably represent distinct genera or families. Large genetic distances separating the molecular types indicate unexpectedly high taxonomic diversity. Comparison of our data with sequences of non-Antarctic allogromiids suggests that Explorers Cove species might be endemic and only distantly related to comparable northern hemisphere fauna.</t>
  </si>
  <si>
    <t>Univ Geneva, Dept Zool &amp; Anim Biol, CH-1224 Chene Bougeries, Switzerland; New York State Dept Hlth, Wadsworth Ctr, Lab Cell Regulat, Albany, NY 12201 USA; New York State Dept Hlth, Wadsworth Ctr, Dept Biomed Sci, Albany, NY 12201 USA</t>
  </si>
  <si>
    <t>University of Geneva; State University of New York (SUNY) System; Wadsworth Center; State University of New York (SUNY) System; Wadsworth Center</t>
  </si>
  <si>
    <t>Univ Geneva, Dept Zool &amp; Anim Biol, 154 Route Malagnou, CH-1224 Chene Bougeries, Switzerland.</t>
  </si>
  <si>
    <t>Jan.Pawlowski@zoo.unige.ch</t>
  </si>
  <si>
    <t>10.1007/s003000100317</t>
  </si>
  <si>
    <t>WOS:000174285400003</t>
  </si>
  <si>
    <t>Moorhead, DL; Wall, DH; Virginia, RA; Parsons, AN</t>
  </si>
  <si>
    <t>Distribution and life-cycle of Scottnema lindsayae (Nematoda) in Antarctic soils:: a modeling analysis of temperature responses</t>
  </si>
  <si>
    <t>DRY VALLEYS; PANAGROLAIMUS-DAVIDI; POPULATION-DYNAMICS; FREEZING TOLERANCE; COLD-HARDINESS; TAYLOR-VALLEY; DESERT SOILS; BIODIVERSITY; COMMUNITIES; DIVERSITY</t>
  </si>
  <si>
    <t>A nested age within stage-structured model was developed to simulate Scottnema lindsayae population dynamics in soils of the McMurdo Dry Valleys, and used to evaluate responses of this species to a range of annual temperature regimes. Simulations predicted that many sites are unlikely to support S. lindsayae, consistent with field observations showing that many soils in the dry valleys lack nematodes. The simulated coefficient of population growth (lambda) varied as a roughly linear function of cumulative annual degree-days (&gt;0degreesC). providing a possible index to site suitability for S. lindsayae that could be used in conjunction with remotely sensed energy data to estimate species distributions. Low temperatures, coupled with long lifespan and slow development of this species, may make dry-valley soil systems sensitive to perturbations that disrupt population dynamics. Indeed, sensitivity analysis indicated that factors affecting adult longevity were the most important determinants of model behavior, further emphasizing the potential impacts of disturbance on local populations.</t>
  </si>
  <si>
    <t>Univ Toledo, Dept Earth Ecol &amp; Environm Sci, Toledo, OH 43606 USA; Colorado State Univ, Nat Resource Ecol Lab, Ft Collins, CO 80523 USA; Colorado State Univ, Dept Rangeland Ecosyst Sci, Ft Collins, CO 80523 USA; Dartmouth Coll, Environm Studies Program, Hanover, NH 03755 USA</t>
  </si>
  <si>
    <t>University System of Ohio; University of Toledo; Colorado State University; Colorado State University; Dartmouth College</t>
  </si>
  <si>
    <t>Univ Toledo, Dept Earth Ecol &amp; Environm Sci, 2801 W Bancroft St, Toledo, OH 43606 USA.</t>
  </si>
  <si>
    <t>dmoorhe@uoft02.utoledo.edu</t>
  </si>
  <si>
    <t>10.1007/s003000100319</t>
  </si>
  <si>
    <t>WOS:000174285400005</t>
  </si>
  <si>
    <t>Murase, H; Matsuoka, K; Ichii, T; Nishiwaki, S</t>
  </si>
  <si>
    <t>Relationship between the distribution of euphausiids and baleen whales in the Antarctic (35°E-145°W)</t>
  </si>
  <si>
    <t>SEA-ICE EXTENT; AUSTRAL SUMMER; SOUTHERN-OCEAN; MINKE WHALES; KRILL; SUPERBA; FOOD; 80-150-DEGREES-E; ABUNDANCE; ECOSYSTEM</t>
  </si>
  <si>
    <t>Simultaneous whale sighting and hydroacoustic surveys were conducted from a research vessel in the Antarctic to examine the relationship between the distribution of euphausiids and baleen whales. High densities of minke whales and large aggregations of euphausiids were observed along the ice edge over the continental slope in the southeast region of area IV and in the southwest region of area V. The results suggest that the continental slope zone that coincides with the ice edge would be an important minke whale feeding area. Minke whales were rarely sighted in the offshore region even if euphausiids were abundant. Distributions of humpback whales were correlated with high euphausiid density zones, regardless of the bottom topographic features. Several groups of blue whales were sighted in the small area along the ice edge where euphausiids were abundant, but sightings were too few to draw any general conclusion about the relationship between blue whales and euphausiids. Both baleen whales and euphausiids were scarce in the area east of 170degreesW where sea ice covered the continental shelf and slope zone.</t>
  </si>
  <si>
    <t>Inst Cetacean Res, Chuo Ku, Tokyo 1040055, Japan; Natl Res Inst Far Seas Fisheries, Shimizu, Shizuoka 4278633, Japan</t>
  </si>
  <si>
    <t>Murase, H (corresponding author), Inst Cetacean Res, Chuo Ku, 4-15 Toyomi Cho, Tokyo 1040055, Japan.</t>
  </si>
  <si>
    <t>Murase, Hiroto/W-3556-2019</t>
  </si>
  <si>
    <t>Murase, Hiroto/0000-0001-7784-6555</t>
  </si>
  <si>
    <t>10.1007/s003000100321</t>
  </si>
  <si>
    <t>WOS:000174285400007</t>
  </si>
  <si>
    <t>Piepenburg, D; Schmid, MK; Gerdes, D</t>
  </si>
  <si>
    <t>The benthos off King George Island (South Shetland Islands, Antarctica): further evidence for a lack of a latitudinal biomass cline in the Southern Ocean</t>
  </si>
  <si>
    <t>SUBLITTORAL EPIFAUNAL COMMUNITIES; BRITTLE STARS ECHINODERMATA; SOUTHEASTERN WEDDELL SEA; NORTHEAST ATLANTIC-OCEAN; ICE-FOOT ZONE; MAGELLAN REGION; DEEP-SEA; QUANTITATIVE INVESTIGATIONS; DISTRIBUTION PATTERNS; CONTINENTAL-SHELF</t>
  </si>
  <si>
    <t>The benthic fauna off King George Island (South Shetland Islands, Antarctica) was investigated during Polarstern expedition ANT XV/3 in March 1998. Samples were taken along two cross-shelf/slope transects both north (Drake Passage) and south of the island (Bransfield Strait, off Potter Cove) at water depths ranging from 130 m to 2,000 m. For a quantitative inventory, a multibox corer was used at nine stations to collect mostly infaunal macrobenthos, at seven stations, seabed photography was employed concomitantly to survey the epibenthic megafauna. Macrofauna abundances ranged from 730 ind. m(-2) at 2.000 m to &gt; 14,000 ind. m(-2) at 100 m; biomass values varied between about 50 g wet mass m(-2) (16 g ash-free dry mass m(-2)) at 2,000 m and about 950 g wet mass m(-2) (about 90 g ash-free dry mass m(-2)) at 200 m. Densities were dominated everywhere by polychaetes. followed by bivalves, crustaceans and ophiuroids: in terms of biomass, krill and holothurians surpassed polychaetes at some stations. No significant differences between the northern and the southern transects in total abundance and biomass were obvious. Megafauna abundances were clearly higher south of King George Island, totalling about 110-150 ind. m(-2) on the shelf (235-330 m) and about 50 ind. m(-2) at the continental slope (750 m), whereas along the northern transect they reached values of only 21-31 ind. m(-2) on the shelf (130-430 m) and decreased at the continental slope m) to about 5 ind. m(-2). A brittle star, Ophionotus victoriae, strongly dominated the southern-shelf epibenthos, with relative abundances of 70-95% and a biomass of about 40-80 g wet mass m(-2) (about 4-7 g ash-free dry mass m(-2)), but was numerically less important at the slope (5%) where ammotheid pycnogonids prevailed (80%). Macro- and megabenthos distribution patterns were characterized by a pronounced shelf-slope gradient - in standing stock as well as in faunistic composition - but this resemblance was statistically not significant. This finding indicates that the spatial distributions of macrobenthos and megabenthos are primarily determined by a depth-dependent factor, most probably food supply, but apparently respond differently to secondary driving forces, possibly seabed features. Our results provide further evidence for the notion that there is no distinct latitudinal gradient in benthic abundance and biomass in the Southern Ocean between the South American Magellan region and high-Antarctic waters of the Weddell Sea.</t>
  </si>
  <si>
    <t>Univ Kiel, Inst Polarokol, D-24128 Kiel, Germany; Alfred Wegener Inst Polar &amp; Meeresforschung, D-27568 Bremerhaven, Germany</t>
  </si>
  <si>
    <t>University of Kiel; Helmholtz Association; Alfred Wegener Institute, Helmholtz Centre for Polar &amp; Marine Research</t>
  </si>
  <si>
    <t>Piepenburg, D (corresponding author), Univ Kiel, Inst Polarokol, Wischhofstr 1-3,Geb 12, D-24128 Kiel, Germany.</t>
  </si>
  <si>
    <t>Piepenburg, Dieter/H-3251-2019; Piepenburg, Dieter/GQP-9916-2022</t>
  </si>
  <si>
    <t>Piepenburg, Dieter/0000-0003-3977-2860; Schmid, Michael/0000-0002-5111-6519</t>
  </si>
  <si>
    <t>10.1007/s003000100322</t>
  </si>
  <si>
    <t>WOS:000174285400008</t>
  </si>
  <si>
    <t>Nagao, T; Saki, T; Joshima, M</t>
  </si>
  <si>
    <t>Heat flow measurements around the Antarctica - Contribution of R/V Hakurei</t>
  </si>
  <si>
    <t>PROCEEDINGS OF THE JAPAN ACADEMY SERIES B-PHYSICAL AND BIOLOGICAL SCIENCES</t>
  </si>
  <si>
    <t>heat flow; Antarctica; thermal conductivity; R/V Hakurei</t>
  </si>
  <si>
    <t>Various kinds of geophysical data are steadily increasing around the Antarctic Continent. However, increase rate is not so high due to severe environmental conditions such as bad sea state. Especially, heat flow data are one of the most lacking geophysical parameters. Concerning heat flow measurements in the southern ocean, contribution of Japanese R/V Hakurei is substantial. During the past two decades, R/V Hakurei has made circum Antarctic research cruises. In this paper, we summarize R/V Hakurei's heat flow data and the general feature of heat flow distribution around the Antarctica.</t>
  </si>
  <si>
    <t>Tokai Univ, Earthquake Predict Res Ctr, Shimizu, Shizuoka 4248610, Japan; Japan Natl Oil Corp, Chiyoda Ku, Tokyo 1008511, Japan; Natl Inst Adv Ind Technol, Tsukuba, Ibaraki 3058567, Japan</t>
  </si>
  <si>
    <t>Tokai University; National Institute of Advanced Industrial Science &amp; Technology (AIST)</t>
  </si>
  <si>
    <t>Nagao, T (corresponding author), Tokai Univ, Earthquake Predict Res Ctr, 3-20-1 Orido, Shimizu, Shizuoka 4248610, Japan.</t>
  </si>
  <si>
    <t>JAPAN ACAD</t>
  </si>
  <si>
    <t>7-32, UENO PARK, TAITO-KU, TOKYO, 110-0007, JAPAN</t>
  </si>
  <si>
    <t>0386-2208</t>
  </si>
  <si>
    <t>P JPN ACAD B-PHYS</t>
  </si>
  <si>
    <t>Proc. Jpn. Acad. Ser. B-Phys. Biol. Sci.</t>
  </si>
  <si>
    <t>10.2183/pjab.78.19</t>
  </si>
  <si>
    <t>531FM</t>
  </si>
  <si>
    <t>WOS:000174405400001</t>
  </si>
  <si>
    <t>McGlone, MS</t>
  </si>
  <si>
    <t>The late quaternary peat, vegetation and climate history of the southern oceanic islands of New Zealand</t>
  </si>
  <si>
    <t>ANTARCTIC CAMPBELL ISLAND; SOUTHWEST PACIFIC-OCEAN; LAST GLACIAL MAXIMUM; POLLEN RAIN; SEA; CHILE</t>
  </si>
  <si>
    <t>Seven oceanic island groups (Chatham, Bounty, Snares, Antipodes, Auckland, Campbell and Macquarie) lie to the south and cast of the southern New Zealand mainland between the Subtropical Convergence and the Antarctic Convergence. They are highly oceanic, experiencing moist, cool, cloudy and windy climates. Deep peat soils cover most of the islands, except for steep slopes and exposed high altitude sites. The three large island groups (Chatham, Auckland and Campbell) support forest and tall scrub in the lowlands, in the latter two grading with altitude through shrubland and grassland to upland tundra. Macrophyllous forbs create luxuriant herbfields in nutrient-rich coastal sites and also, as stunted forms, dominate upland tundra associations. The southernmost island, Macquarie has no woody species, and is covered with tussock grassland, herbfield and tundra. Vegetation cover is highly sensitive to soil saturation and exposure to the strong westerly winds of this region. Extensive oligotrophic bogs occur where drainage is poor and exposure high, and forest and tall scrub are abundant only in sheltered, well-drained lowland sites. Glacial cirque levels indicate mean annual temperatures fell by 5-6degreesC during the Last Giacial Maximum. A depression of 6-10degreesC in sea surface temperatures is suggested by deep-sea core analyses, but this seems incompatible with terrestrial evidence. Auckland and Campbell Islands were extensively glaciated, and grassland, herbfield and tundra landscapes prevailed. Glaciers retreated by 15 000 yr BP, and landscapes had stabilised and peat soils begun forming by 12 000 yr BP. By the beginning of the Holocene., oligotrophic bog, grassland and shrubland were dominant. Scrub and low forest spread slowly during the early Holocene in the Chatham, Auckland and Campbell Islands, inhibited by cloudy, moist climates, low insolation and wet soils. Maximum extent of forest and scrub occurred between 6000 and 2000 yr BP, most probably linked with a drying of the soils and increasing summer insolation. Upland sites and those exposed to westerly gales on Auckland and Campbell Islands remained in grassland, herbfield and bog throughout the Holocene. Wind-blown sand and stones in cliff edge peat profiles on Auckland and Campbell Island from 8000 yr BP suggest strengthening westerly winds. (C) 2002 Elsevier Science Ltd. All rights reserved.</t>
  </si>
  <si>
    <t>Manaaki Whemia, Landcare Res, Lincoln 8512, New Zealand</t>
  </si>
  <si>
    <t>Landcare Research - New Zealand</t>
  </si>
  <si>
    <t>McGlone, MS (corresponding author), Manaaki Whemia, Landcare Res, POB 69, Lincoln 8512, New Zealand.</t>
  </si>
  <si>
    <t>4-6</t>
  </si>
  <si>
    <t>PII S0277-3791(01)00044-0</t>
  </si>
  <si>
    <t>10.1016/S0277-3791(01)00044-0</t>
  </si>
  <si>
    <t>527XM</t>
  </si>
  <si>
    <t>WOS:000174213300011</t>
  </si>
  <si>
    <t>Doran, PT; Priscu, JC; Lyons, WB; Walsh, JE; Fountain, AG; McKnight, DM; Moorhead, DL; Virginia, RA; Wall, DH; Clow, GD; Fritsen, CH; McKay, CP; Parsons, AN</t>
  </si>
  <si>
    <t>Antarctic climate cooling and terrestrial ecosystem response</t>
  </si>
  <si>
    <t>TAYLOR-VALLEY; DRY VALLEYS; COMMUNITIES; TEMPERATURE</t>
  </si>
  <si>
    <t>The average air temperature at the Earth's surface has increased by 0.06degreesC per decade during the 20th century(1), and by 0.19degreesC per decade from 1979 to 1998(2). Climate models generally predict amplified warming in polar regions(3,4), as observed in Antarctica's peninsula region over the second half of the 20th century(5-9). Although previous reports suggest slight recent continental warming(9,10), our spatial analysis of Antarctic meteorological data demonstrates a net cooling on the Antarctic continent between 1966 and 2000, particularly during summer and autumn. The McMurdo Dry Valleys have cooled by 0.7degreesC per decade between 1986 and 2000, with similar pronounced seasonal trends. Summer cooling is particularly important to Antarctic terrestrial ecosystems that are poised at the interface of ice and water. Here we present data from the dry valleys representing evidence of rapid terrestrial ecosystem response to climate cooling in Antarctica, including decreased primary productivity of lakes (6-9% per year) and declining numbers of soil invertebrates (more than 10% per year). Continental Antarctic cooling, especially the seasonality of cooling, poses challenges to models of climate and ecosystem change.</t>
  </si>
  <si>
    <t>Univ Illinois, Dept Earth &amp; Environm Sci, Chicago, IL 60607 USA; Montana State Univ, Bozeman, MT 59717 USA; Ohio State Univ, Byrd Polar Res Ctr, Columbus, OH 43210 USA; Univ Illinois, Dept Atmospher Sci, Urbana, IL 61801 USA; Univ Colorado, Inst Arctic &amp; Alpine Res, Boulder, CO 80309 USA; Portland State Univ, Dept Geol, Portland, OR 97207 USA; Univ Toledo, Dept Earth Ecol &amp; Environm Sci, Toledo, OH 43606 USA; Dartmouth Coll, Environm Studies Program, Hanover, NH 03755 USA; Colorado State Univ, Nat Resource Ecol Lab, Ft Collins, CO 80523 USA; US Geol Survey, Climate Program, Denver, CO 80225 USA; Desert Res Inst, Div Earth &amp; Ecosyst Sci, Reno, NV 89512 USA; NASA, Ames Res Ctr, Div Space Sci, Moffett Field, CA 94035 USA</t>
  </si>
  <si>
    <t>University of Illinois System; University of Illinois Chicago; University of Illinois Chicago Hospital; Montana State University System; Montana State University Bozeman; University System of Ohio; Ohio State University; University of Illinois System; University of Illinois Urbana-Champaign; University of Colorado System; University of Colorado Boulder; Portland State University; University System of Ohio; University of Toledo; Dartmouth College; Colorado State University; United States Department of the Interior; United States Geological Survey; Nevada System of Higher Education (NSHE); Desert Research Institute NSHE; National Aeronautics &amp; Space Administration (NASA); NASA Ames Research Center</t>
  </si>
  <si>
    <t>Doran, PT (corresponding author), Univ Illinois, Dept Earth &amp; Environm Sci, 845 W Taylor St, Chicago, IL 60607 USA.</t>
  </si>
  <si>
    <t>Walsh, John/GQI-2785-2022; Wall, Diana H/F-5491-2011</t>
  </si>
  <si>
    <t>Walsh, John/0000-0002-2510-8734; McKay, Christopher/0000-0002-6243-1362; Walsh, John/0000-0001-9541-5927; MCKNIGHT, DIANE/0000-0002-4171-1533</t>
  </si>
  <si>
    <t>JAN 31</t>
  </si>
  <si>
    <t>10.1038/nature710</t>
  </si>
  <si>
    <t>516PQ</t>
  </si>
  <si>
    <t>WOS:000173564300044</t>
  </si>
  <si>
    <t>Usbeck, R; van der Loeff, MR; Hoppema, M; Schlitzer, R</t>
  </si>
  <si>
    <t>Shallow remineralization in the Weddell Gyre</t>
  </si>
  <si>
    <t>GEOCHEMISTRY GEOPHYSICS GEOSYSTEMS</t>
  </si>
  <si>
    <t>Weddell Gyre; export; remineralization; Thorium-234; carbon; silica; geochemical cycles; marine geochemistry; biogeochemical processes; Arctic and Antarctic oceanography</t>
  </si>
  <si>
    <t>PARTICULATE ORGANIC-MATTER; ANTARCTIC POLAR FRONT; SURFACE-LAYER BALANCE; AUSTRAL SUMMER 1993; ATLANTIC SECTOR; SOUTHERN-OCEAN; ATMOSPHERIC CO2; BIOGENIC SILICA; ZOOPLANKTON STRUCTURE; GRAZING IMPACT</t>
  </si>
  <si>
    <t>[1] The region influenced by the Polar Front in the Southern Ocean is characterized by relatively high productivity, which is mirrored in strong depletions of Th-234 in the surface water, a good tracer of export production, and by high accumulation rates on the underlying seabed. Farther south, the Weddell Sea is generally considered a low productivity region with very low export fluxes. This finding is based on satellite observations, sediment accumulation rates, trap deployments, and phytoplankton distribution. If this would be true, Th-234 should be close to equilibrium with its parent. However, in a series of high-resolution transects of Th-234/U-238 across the Antarctic Circumpolar Current (ACC), Th-234 was found to be depleted by 10-15% throughout the clear Weddell Gyre, only to reach equilibrium in sea-ice covered regions of the coastal zone. Vertical profiles showed that the depletion was limited to the upper mixed layer and was balanced by an enrichment of similar magnitude at 100-250m depth. This implies that the export of particles below 250 m is negligible. Such shallow remineralization is in line with the discrepancies between biogenic silica production rates and sediment trap data observed in the Weddell and Ross Seas. These observations in the Weddell Sea are fully consistent with our inverse modeling results for both organic carbon and opal, and they are not inconsistent with TCO2 and oxygen sections that show a TCO2 enriched, oxygen reduced shallow subsurface layer. This blue ocean, characterized by upwelling of CO2-enriched deep waters, supports sufficient productivity to be a net sink for CO2 to abyssal depths [Hoppema et al., 1999]. No record of this productivity and export is stored in the underlying sediment, which has important palaeoceanographic consequences.</t>
  </si>
  <si>
    <t>Alfred Wegener Inst Polar &amp; Marine Res, D-27515 Bremerhaven, Germany; Univ Bremen, Inst Environm Phys, Dept Oceanog, D-28334 Bremen, Germany</t>
  </si>
  <si>
    <t>Helmholtz Association; Alfred Wegener Institute, Helmholtz Centre for Polar &amp; Marine Research; University of Bremen</t>
  </si>
  <si>
    <t>Alfred Wegener Inst Polar &amp; Marine Res, POB 120161, D-27515 Bremerhaven, Germany.</t>
  </si>
  <si>
    <t>rusbeck@awi-bremerhaven.de; mloeff@planet.nl; hoppema@theo.physik.uni-bremen.de; rschlitzer@awi-bremerhaven.de</t>
  </si>
  <si>
    <t>Rutgers van der Loeff, Michiel/0000-0003-1393-3742</t>
  </si>
  <si>
    <t>1525-2027</t>
  </si>
  <si>
    <t>GEOCHEM GEOPHY GEOSY</t>
  </si>
  <si>
    <t>Geochem. Geophys. Geosyst.</t>
  </si>
  <si>
    <t>JAN 30</t>
  </si>
  <si>
    <t>10.1029/2001GC000182</t>
  </si>
  <si>
    <t>516ZY</t>
  </si>
  <si>
    <t>WOS:000173587700001</t>
  </si>
  <si>
    <t>Thomas, DN; Dieckmann, GS</t>
  </si>
  <si>
    <t>Ocean science - Antarctic Sea ice - a habitat for extremophites</t>
  </si>
  <si>
    <t>ALGAE; TEMPERATURES; SALINITY; BACTERIA; DIATOMS; NITRATE; EUROPA; BRINE; EARTH</t>
  </si>
  <si>
    <t>The pack ice of Earth's polar oceans appears to be frozen white desert, devoid of life. However, beneath the snow ties a unique habitat for a group of bacteria and microscopic plants and animals that are encased in an ice matrix at tow temperatures and light levels. with the only liquid being pockets of concentrated brines. Survival in these conditions requires a complex suite of physiological and metabolic adaptations, but sea-ice organisms thrive in the ice, and their prolific growth ensures they play a fundamental role in polar ecosystems. Apart from their ecological importance, the bacterial and algae species found in sea ice have become the focus for novel biotechnology, as well as being considered proxies for possible life forms on ice-covered extraterrestrial bodies.</t>
  </si>
  <si>
    <t>Univ Wales, Sch Ocean Sci, Menai Bridge LL59 5EY, Anglesey, Wales; Alfred Wegener Inst Polar &amp; Marine Res, D-27570 Bremerhaven, Germany</t>
  </si>
  <si>
    <t>Thomas, DN (corresponding author), Univ Wales, Sch Ocean Sci, Menai Bridge LL59 5EY, Anglesey, Wales.</t>
  </si>
  <si>
    <t>Thomas, David Neville/B-1448-2010; Dieckmann, Gerhard S/B-4307-2010</t>
  </si>
  <si>
    <t>Thomas, David Neville/0000-0001-8832-5907;</t>
  </si>
  <si>
    <t>JAN 25</t>
  </si>
  <si>
    <t>10.1126/science.1063391</t>
  </si>
  <si>
    <t>516PD</t>
  </si>
  <si>
    <t>WOS:000173560900033</t>
  </si>
  <si>
    <t>Quayle, WC; Peck, LS; Peat, H; Ellis-Evans, JC; Harrigan, PR</t>
  </si>
  <si>
    <t>Extreme responses to climate change in Antarctic lakes</t>
  </si>
  <si>
    <t>AIR-TEMPERATURE; ICE</t>
  </si>
  <si>
    <t>British Antarctic Survey, NERC, Cambridge CB3 0ET, England; BC Ctr Excellence, Vancouver, BC V6Z 1Y6, Canada</t>
  </si>
  <si>
    <t>UK Research &amp; Innovation (UKRI); Natural Environment Research Council (NERC); NERC British Antarctic Survey; B.C. Centre for Excellence in HIV/AIDS</t>
  </si>
  <si>
    <t>Peck, LS (corresponding author), British Antarctic Survey, NERC, High Cross,Madingley Rd, Cambridge CB3 0ET, England.</t>
  </si>
  <si>
    <t>QUAYLE, WENDY C/Q-3719-2016; QUAYLE, Wendy/D-4634-2011; Peat, Helen J/E-9666-2015</t>
  </si>
  <si>
    <t>QUAYLE, WENDY C/0000-0003-0622-1915; Peat, Helen/0000-0003-2017-8597</t>
  </si>
  <si>
    <t>10.1126/science.1064074</t>
  </si>
  <si>
    <t>WOS:000173560900034</t>
  </si>
  <si>
    <t>Greenland, D; Kittel, TGF</t>
  </si>
  <si>
    <t>Temporal variability of climate at the US Long-Term Ecological Research (LTER) sites</t>
  </si>
  <si>
    <t>CLIMATE RESEARCH</t>
  </si>
  <si>
    <t>climate variability; climatic trends; LTER; United States; Puerto Rico; Antarctica</t>
  </si>
  <si>
    <t>UNITED-STATES; NIWOT RIDGE; FRONT RANGE; SEA-ICE; TEMPERATURES; BIODIVERSITY; GRASSLANDS; COLORADO</t>
  </si>
  <si>
    <t>We examine the temporal climate variability of 18 Long-Term Ecological Research (LTER) sites in the United States including Puerto Rico and Antarctica. Annual and seasonal means of air temperature and totals of precipitation were collected from sites for the period 1957-1990 and, for some sites, for longer periods ranging up to a century, Fourteen of the sites show a positive trend in annual mean temperature during the 1957-1990 period, while 4 show a negative trend. Statistical evidence exists at some groups of sites for a step function in temperature and precipitation occurring in the 14 yr either side of 1976. Comparisons suggest that with respect to changes in time, the climates of sites in the North Central part of the US tend to act in concert as one group while the climates of sites near the East Coast tend to act together as a separate group. The climates of the Antarctic sites also seem to act in a coherent manner, There is less coherence among the climates of other LTER sites. These patterns are shown in the variations of the detrended standardized 5 yr moving averages of temperature and precipitation at the sites. The patterns are associated with variations in the values of teleconnective indices, particularly the North Atlantic Oscillation index for the North Central and East Coast LTER sites and the Pacific North American index for the Alaskan and Pacific Northwest group of LTER sites. The climates of some sites, such as those in the center of the country, show some evidence of 'cyclicity' but the record length is too short to make definitive statements about this. We review the variability of some ecological effects that have been documented at LTER sites as this variability relates to the described climate.</t>
  </si>
  <si>
    <t>Univ N Carolina, Dept Geog, Chapel Hill, NC 27599 USA; Natl Ctr Atmospher Res, Boulder, CO 80307 USA; Colorado State Univ, Nat Resource Ecol Lab, Ft Collins, CO 80523 USA</t>
  </si>
  <si>
    <t>University of North Carolina; University of North Carolina Chapel Hill; National Center Atmospheric Research (NCAR) - USA; Colorado State University</t>
  </si>
  <si>
    <t>Greenland, D (corresponding author), Univ N Carolina, Dept Geog, Chapel Hill, NC 27599 USA.</t>
  </si>
  <si>
    <t>Kittel, Timothy G. F./F-2792-2011</t>
  </si>
  <si>
    <t>Kittel, Timothy/0000-0002-4153-1006</t>
  </si>
  <si>
    <t>0936-577X</t>
  </si>
  <si>
    <t>CLIMATE RES</t>
  </si>
  <si>
    <t>Clim. Res.</t>
  </si>
  <si>
    <t>JAN 16</t>
  </si>
  <si>
    <t>10.3354/cr019213</t>
  </si>
  <si>
    <t>530BJ</t>
  </si>
  <si>
    <t>WOS:000174335500003</t>
  </si>
  <si>
    <t>A 13 200 year history of century to millennial-scale paleoenvironmental change magnetically recorded in the Palmer Deep, western Antarctic Peninsula</t>
  </si>
  <si>
    <t>magnetic susceptibility; magnetic domains; Antarctic Peninsula; Holocene; paleoclimatology; Leg 178</t>
  </si>
  <si>
    <t>CLIMATE; ICE; TITANOMAGNETITES; SUSCEPTIBILITY; CYCLES; EVENT</t>
  </si>
  <si>
    <t>A 13 200-yr record of magnetic parameters from the Palmer Deep, western Antarctic Peninsula, records a sequence of five distinct shifts in glacimarine sedimentation coupled with century-scale variations in paleoproductivity. The five major shifts are manifested as abrupt, order of magnitude changes in low-Field magnetic susceptibility, accompanied by changes in magnetic particle size and mineralogy. The Late Holocene (3.4-0 ka), the Early Holocene (11.5-9 ka), and the Last Glacial Maximum (prior to 13,2 ka) are intervals of strong low-field magnetic susceptibility and are characterized by multi-domain (MD) magnetite. MD magnetite is associated with zones of abundant gravel grains and is interpreted here as an indicator of material transported as ice-rafted debris, Deglaciation (13.2-11.5 ka) and the Middle Holocene (9-3.4 ka) were times of enhanced productivity. The Middle Holocene marks the onset of century-scale productivity cycles seen in high-field magnetic susceptibility, which is responding to variations in biogenic silica. Deglaciation and the Middle Holocene interval contain pseudo-single domain magnetite and titanomagnetite, respectively. These observations are surprising given the abundance of coarse MD magnetite available in local source rocks. The magnetic mineral assemblage in the Deglaciation interval, however, can be explained by density sorting in meltwater plumes. During the Middle Holocene, the magnetic mineral assemblage suggests the reduction or cessation of locally derived terrigenous sediment, and by inference, the reduction or cessation of iceberg generation. The Early Holocene-Middle Holocene shift in terrigenous sedimentation may be responding in part to sea level, which controls the position of the grounding line. The Palmer Deep Late Holocene interval coincides with the Neoglacial period, a time of glacier re-advances worldwide. (C) 2002 Elsevier Science B.V. All rights reserved.</t>
  </si>
  <si>
    <t>Ohio State Univ, Byrd Polar Res Ctr, Columbus, OH 43210 USA; Univ Minnesota, Wincell Sch Earth Sci, Inst Rock Magnetism, Minneapolis, MN USA; Univ Florida, Dept Geol Sci, Gainesville, FL USA; Texas A&amp;M Univ, Ocean Drilling Program, College Stn, TX USA</t>
  </si>
  <si>
    <t>Ohio State Univ, Byrd Polar Res Ctr, 108 Scott Hall,1090 Carmack Rd, Columbus, OH 43210 USA.</t>
  </si>
  <si>
    <t>brachfeld.2@osu.edu</t>
  </si>
  <si>
    <t>Acton, Gary D/B-6108-2016; guyodo, yohan/R-5079-2018; Guyodo, Yohan/G-8282-2011</t>
  </si>
  <si>
    <t>guyodo, yohan/0000-0003-0485-5949; Brachfeld, Stefanie/0000-0003-4612-2866; Acton, Gary/0000-0002-3285-4022</t>
  </si>
  <si>
    <t>JAN 15</t>
  </si>
  <si>
    <t>10.1016/S0012-821X(01)00567-2</t>
  </si>
  <si>
    <t>517KT</t>
  </si>
  <si>
    <t>WOS:000173610300003</t>
  </si>
  <si>
    <t>Lakaschus, S; Weber, K; Wania, F; Bruhn, R; Schrems, O</t>
  </si>
  <si>
    <t>The air-sea equilibrium and time trend of hexachlorocyclohexanes in the Atlantic Ocean between the Arctic and Antarctica</t>
  </si>
  <si>
    <t>GLOBAL DISTRIBUTION MODEL; ALPHA-HEXACHLOROCYCLOHEXANE; GAMMA-HEXACHLOROCYCLOHEXANE; PERSISTENT ORGANOCHLORINES; CHEMICAL FATE; AMBIENT AIR; WATER; PESTICIDES; TRANSPORT; CONTAMINATION</t>
  </si>
  <si>
    <t>Hexachlorocyclohexanes (HCHs) were determined simultaneously in air and seawater during two cruises across the Atlantic Ocean between the Arctic Ocean (Ny-Alesund/Svalbard, 79degreesN; 12degreesE) and the Antarctic Continent (Neumayer Station/Ekstroem Ice Shelf, 70degreesS; 8.2degreesW) in 1999/ 2000. The concentrations of alpha-HCH and gamma-HCH in air and surface waters of the Arctic exceeded those in Antarctica by 1-2 orders of magnitude. The gaseous concentrations of gamma-HCH were highest above the North Sea and between 20degreesN and 30degreesS. Fugacity fractions were used to estimate the direction of the air-sea gas exchange. These showed for alpha-HCH that the measured concentrations in both phases were close to equilibrium in the North Atlantic (78degreesN-40degreesN), slightly undersaturated between 30degreesN and 10degreesS and again close to equilibrium between 20degreesS and 50degreesS. gamma-HCH has reached phase equilibrium in the North Atlantic as alpha-HCH, but the surface waters of the tropical and southern Atlantic were strongly undersaturated with gamma-HCH, especially between 30degreesN and 20degreesS. These findings are significantly different from two earlier estimates around 1990 as a result of global emission changes within the past decade. Therefore, we investigated the time trend of the HCHs in the surface waters of the Atlantic between 50degreesN and 60degreesS on the basis of archived samples taken in 19871997 and those from 1999. A decrease of alpha-HCH by a factor of approximately 4 is observed at all sampling locations. No decrease of gamma-HCH occurred between 30degreesN and 30degreesS, but there was a decrease in the North Atlantic, North Sea, and in the South Atlantic south of 40degreesS. The constant level of gamma-HCH in the tropical Atlantic confirms the conclusion that the tropical Atlantic acts as a sink for gamma-HCH at present time. The measured alpha-HCH seawater concentrations were compared with results from a global multimedia fate and transport model, Whereas the time trend over 13 years and the latitudinal gradient were well reproduced by the model, the absolute levels were too high by a factor of 4.5. This may be explained by the zonal averaging employed in the model as well as uncertain emissions and degradation rates.</t>
  </si>
  <si>
    <t>Alfred Wegener Inst Polar &amp; Marine Res, D-27568 Bremerhaven, Germany; Univ Toronto Scarborough, Toronto, ON M1C 1A4, Canada; Balt Sea Res Inst, D-18119 Rostock, Germany</t>
  </si>
  <si>
    <t>Helmholtz Association; Alfred Wegener Institute, Helmholtz Centre for Polar &amp; Marine Research; University of Toronto; University Toronto Scarborough</t>
  </si>
  <si>
    <t>Lakaschus, S (corresponding author), Alfred Wegener Inst Polar &amp; Marine Res, Handelshafen 12, D-27568 Bremerhaven, Germany.</t>
  </si>
  <si>
    <t>slakaschus@awi-bremerhaven.de</t>
  </si>
  <si>
    <t>Wania, Frank/JAX-3216-2023; Wania, Frank/J-2532-2012</t>
  </si>
  <si>
    <t>Wania, Frank/0000-0003-3836-0901; Wania, Frank/0000-0003-3836-0901</t>
  </si>
  <si>
    <t>1520-5851</t>
  </si>
  <si>
    <t>10.1021/es010211j</t>
  </si>
  <si>
    <t>512EP</t>
  </si>
  <si>
    <t>WOS:000173308400004</t>
  </si>
  <si>
    <t>Gildor, H; Ghil, M</t>
  </si>
  <si>
    <t>Phase relations between climate proxy records: Potential effect of seasonal precipitation changes</t>
  </si>
  <si>
    <t>VOSTOK ICE CORE; MAJOR GLACIATION CYCLES; ANTARCTIC PRECIPITATION; SEA-ICE; TEMPERATURE; GREENLAND; ISOTOPE; CO2; ORIGIN; VALIDITY</t>
  </si>
  <si>
    <t>[1] Phase relations between climate variables are critical in order to ascertain the main mechanisms driving glaciation cycles. Proxy records from ice cores are commonly assumed to represent annual mean averages. These averages, however, may be biased toward a particular season due, for example, to a change in the distribution of precipitation. We demonstrate using a nine-box model of the climate system that the phase relation between atmospheric CO2 and temperature can be opposite during different seasons and, moreover, that the phase relation can change during different stages of the glacial cycle. Ice-core records may thus favor one phase relation during certain stages over another. Our model can explain the observed lag of several thousand years of atmospheric CO2 behind temperature upon entering a stadial, given reasonable assumptions about the precipitation-weighted temperature record at Vostok.</t>
  </si>
  <si>
    <t>Weizmann Inst Sci, Dept Environm Sci, IL-76100 Rehovot, Israel; Univ Calif Los Angeles, Dept Atmospher Sci, Los Angeles, CA 90095 USA; Univ Calif Los Angeles, Inst Geophys &amp; Planetary Phys, Los Angeles, CA 90095 USA</t>
  </si>
  <si>
    <t>Weizmann Institute of Science; University of California System; University of California Los Angeles; University of California System; University of California Los Angeles</t>
  </si>
  <si>
    <t>Columbia Univ, Lamont Doherty Earth Observ, Palisades, NY 10964 USA.</t>
  </si>
  <si>
    <t>hezi.gildor@weizmann.ac.il; ghil@atmos.ucla.edu</t>
  </si>
  <si>
    <t>Gildor, Hezi/AAZ-6602-2021; Ghil, Michael/O-1433-2019</t>
  </si>
  <si>
    <t>Gildor, Hezi/0000-0003-0898-6292; Ghil, Michael/0000-0001-5177-7133</t>
  </si>
  <si>
    <t>10.1029/2001GL013781</t>
  </si>
  <si>
    <t>609CR</t>
  </si>
  <si>
    <t>WOS:000178885500007</t>
  </si>
  <si>
    <t>Rist, MA; Sammonds, PR; Oerter, H; Doake, CSM</t>
  </si>
  <si>
    <t>Fracture of Antarctic shelf ice</t>
  </si>
  <si>
    <t>fracture mechanics; ice; crevassing; experiments</t>
  </si>
  <si>
    <t>MECHANICS APPROACH; BOTTOM CREVASSES; MARINE ICE; TOUGHNESS; PENETRATION</t>
  </si>
  <si>
    <t>[1] We have investigated the fracture of Antarctic shelf ice core using two fracture mechanics test methods: the chevron-notched short-rod specimen loaded in tension and the chevron-notched round-bar specimen loaded in three-point bending. These tests have been used to measure the fracture initiation toughness, K-init, at which crack growth starts, on samples taken through the entire thickness of the Ronne Ice Shelf, from low-density firn through consolidated meteoric ice to basal marine ice. The fracture data are presented together with depth profiles of relevant physical and mechanical properties derived from the test specimens: temperature, density, elastic modulus, and grain size. It is found that the trend in measured fracture toughness closely reflects changes in ice density and elastic modulus. We augment the experimental study by presenting a fracture mechanics analysis of ice shelf surface and basal crevassing which directly incorporates our measurements. For the examined ice shelf profiles, basal crevasses are found to be inherently unstable unless an external restraining force is imposed, which has important implications for overall ice shelf stability. On the other hand, surface crevassing is shown to be innately stable at depth. Our fracture mechanics model is used to predict local ice shelf back stresses in the vicinity of basal crevassing and is validated directly against field observations of crevasse penetration on the Ronne Ice Shelf.</t>
  </si>
  <si>
    <t>UCL, Dept Geol Sci, Rock &amp; Ice Phys Lab, London WC1E 6BT, England; Alfred Wegener Inst Polar &amp; Marine Res, D-27515 Bremerhaven, Germany; British Antarctic Survey, NERC, Cambridge CB3 0ET, England</t>
  </si>
  <si>
    <t>University of London; University College London; Helmholtz Association; Alfred Wegener Institute, Helmholtz Centre for Polar &amp; Marine Research; UK Research &amp; Innovation (UKRI); Natural Environment Research Council (NERC); NERC British Antarctic Survey</t>
  </si>
  <si>
    <t>Univ Cambridge, Dept Mat Sci &amp; Met, Pembroke St, Cambridge CB2 3QZ, England.</t>
  </si>
  <si>
    <t>mar36@cam.ac.uk</t>
  </si>
  <si>
    <t>JAN 10</t>
  </si>
  <si>
    <t>B1</t>
  </si>
  <si>
    <t>10.1029/2000JB000058</t>
  </si>
  <si>
    <t>609MM</t>
  </si>
  <si>
    <t>WOS:000178909600026</t>
  </si>
  <si>
    <t>Altabet, MA; Higginson, MJ; Murray, DW</t>
  </si>
  <si>
    <t>The effect of millennial-scale changes in Arabian Sea denitrification on atmospheric CO2</t>
  </si>
  <si>
    <t>INDIAN-OCEAN; ICE CORE; CYCLE; MONSOON; OSCILLATIONS; VARIABILITY; ATLANTIC; METHANE; RATIOS</t>
  </si>
  <si>
    <t>Most global biogeochemical processes are known to respond to climate change, some of which have the capacity to produce feedbacks through the regulation of atmospheric greenhouse gases(1). Marine denitrification-the reduction of nitrate to gaseous nitrogen-is an important process in this regard, affecting greenhouse gas concentrations directly through the incidental production of nitrous oxide, and indirectly through modification of the marine nitrogen inventory and hence the biological pump for CO2. Although denitrification has been shown to vary with glacial-interglacial cycles(2,3), its response to more rapid climate change has not yet been well characterized. Here we present nitrogen isotope ratio, nitrogen content and chlorin abundance data from sediment cores with high accumulation rates on the Oman continental margin that reveal substantial millennial-scale variability in Arabian Sea denitrification and productivity during the last glacial period. The detailed correspondence of these changes with Dansgaard-Oeschger events recorded in Greenland ice cores(4) indicates rapid, century-scale reorganization of the Arabian Sea ecosystem in response to climate excursions, mediated through the intensity of summer monsoonal upwelling. Considering the several-thousand-year residence time of fixed nitrogen in the ocean, the response of global marine productivity to changes in denitrification would have occurred at lower frequency and appears to be related to climatic and atmospheric CO2 oscillations observed in Antarctic ice cores between 20 and 60 kyr ago(5).</t>
  </si>
  <si>
    <t>Univ Massachusetts, Sch Marine Sci &amp; Technol, New Bedford, MA 02744 USA; Brown Univ, Ctr Environm Studies, Providence, RI 02912 USA</t>
  </si>
  <si>
    <t>University of Massachusetts System; Brown University</t>
  </si>
  <si>
    <t>Altabet, MA (corresponding author), Univ Massachusetts, Sch Marine Sci &amp; Technol, 706 S Rodney French Blvd, New Bedford, MA 02744 USA.</t>
  </si>
  <si>
    <t>10.1038/415159a</t>
  </si>
  <si>
    <t>509PR</t>
  </si>
  <si>
    <t>WOS:000173159300038</t>
  </si>
  <si>
    <t>Behling, H</t>
  </si>
  <si>
    <t>South and southeast Brazilian grasslands during Late Quaternary times: a synthesis</t>
  </si>
  <si>
    <t>Late Quaternary; pollen analysis; grassland; palaeofire; palaeoclimate; southern Brazil</t>
  </si>
  <si>
    <t>FIRE HISTORY; SE BRAZIL; VEGETATION; CLIMATE; CAMPOS; ALTITUDE; REGION; SANTA</t>
  </si>
  <si>
    <t>Fourteen pollen records from the south (S) and the southeast (SE) Brazilian regions have been synthesised. Late Glacial records from S Brazilian highlands document the predominance of grassland (campos) where today Araucaria forests occur. Records from SE Brazil show that during pre- and full-glacial times modem tropical semideciduous forest and cerrado (savanna to dry forest) were mostly replaced by grassland and some subtropical gallery forest. Modem montane Araucaria forests and cloud forests in SE Brazil were mostly replaced by grassland during pre- and full-glacial times. There is evidence that the modern tropical Atlantic rainforest in S Brazil was significantly reduced and replaced by cold-adapted forest taxa or grassland during glacial, especially during full-glacial times. The synthesis indicates that grasslands dominated the S and SE Brazilian landscape during the Late Pleistocene where today different forest ecosystems exist. Grassland extended over 750 kin from S to SE Brazil from latitudes of about 28degrees/27degrees S to at least 20degrees S. These results indicate that climates in the region were markedly drier and 5-7degreesC cooler during glacial times. Antarctic cold fronts must have been much stronger and more frequent than today. Studies from S Brazil show that huge areas of Late Pleistocene campos vegetation were still found on the S Brazilian highlands during early and mid Holocene times, reflecting dry climatic conditions with an annual dry period of probably 3 months. Modem wet climatic conditions with no or only short dry periods were not established until the Late Holocene period when Araucaria forests replaced large areas of grassland vegetation after about 3000 C-14 yr BY. and especially after 1500/1000 C-14 yr B.P. (C) 2002 Elsevier Science B.V. All rights reserved.</t>
  </si>
  <si>
    <t>Ctr Trop Marine Ecol, D-28359 Bremen, Germany</t>
  </si>
  <si>
    <t>Leibniz Zentrum fur Marine Tropenforschung (ZMT)</t>
  </si>
  <si>
    <t>Behling, H (corresponding author), Ctr Trop Marine Ecol, Fahrenheitstr 6, D-28359 Bremen, Germany.</t>
  </si>
  <si>
    <t>IPO, PAGES/JXY-7546-2024</t>
  </si>
  <si>
    <t>JAN 5</t>
  </si>
  <si>
    <t>10.1016/S0031-0182(01)00349-2</t>
  </si>
  <si>
    <t>523HD</t>
  </si>
  <si>
    <t>WOS:000173947200003</t>
  </si>
  <si>
    <t>Boom, A; Marchant, R; Hooghiemstra, H; Damsté, JSS</t>
  </si>
  <si>
    <t>CO2- and temperature-controlled altitudinal shifts of C4- and C3-dominated grasslands allow reconstruction of palaeoatmospheric pCO2</t>
  </si>
  <si>
    <t>pCO(2); C-4; grass; delta C-13; n-alkanes; reconstruction</t>
  </si>
  <si>
    <t>SOIL ORGANIC-MATTER; CARBON-DIOXIDE; C-13/C-12 RATIOS; ATMOSPHERIC CO2; DELTA-C-13 ANALYSES; MASS-SPECTROMETRY; LATE MIOCENE; C-4 GRASSES; WEST-AFRICA; VEGETATION</t>
  </si>
  <si>
    <t>During the Pleistocene the vegetation changes in the high Colombian Andes included changes from C-3 to C-4 plants. This is inferred from delta(13)C values of the C-31 n-alkane from the Funza-2 sedimentary record taken from the high plain of Bogota at 2550 m elevation. The environmental factors thought to be responsible for these changes were investigated using a single point simulation of the BIOME3 vegetation model, including changes in precipitation, temperature and atmospheric CO2 concentrations. The model shows that changes are for a major part caused by these latter two factors. The isotopic signature of the n-alkanes of several extant C-3 and C-4 grasses from the area were determined to calibrate the interpretation of the isotopic record. From the geochemical record, we estimated the altitudinal distribution of C-3 and C-4 plants, using present grass distribution patterns based on floristic data as a template. This information, in combination with palaeotemperature estimates, enabled the reconstruction of atmospheric CO2 concentrations. The reconstructed CO2 concentrations follow the trends of the Vostok Antarctic ice core through three glacial and two interglacial stages. The lowest calculated CO2 concentration is ca. 210 ppmV for the glacial maxima and within the range of lowest values from Vostok, our highest value (310 ppmV) is for interglacial MIS 7. This represents a new method to reconstruct palaeoatmospheric pCO(2). It is less accurate than measurements from ice cores, but has potential to be used for sediments that are much older than the ice cores. (C) 2002 Elsevier Science B.V. All rights reserved.</t>
  </si>
  <si>
    <t>Univ Amsterdam, Fac Sci, IBED, Res Grp Palynol &amp; PaleolActuo Ecol, NL-1098 SM Amsterdam, Netherlands; Netherlands Inst Sea Res, NIOZ, Dept Marine Biogeochem &amp; Toxicol, NL-1790 AB Den Burg, Netherlands</t>
  </si>
  <si>
    <t>University of Amsterdam; Utrecht University; Royal Netherlands Institute for Sea Research (NIOZ)</t>
  </si>
  <si>
    <t>Univ Amsterdam, Fac Sci, IBED, Res Grp Palynol &amp; PaleolActuo Ecol, Kruislaan 318, NL-1098 SM Amsterdam, Netherlands.</t>
  </si>
  <si>
    <t>hooghiemstra@sciences.uva.nl</t>
  </si>
  <si>
    <t>IPO, PAGES/JXY-7546-2024; Sinninghe Damste, Jaap/F-6128-2011</t>
  </si>
  <si>
    <t>Boom, Arnoud/0000-0003-1299-691X; Sinninghe Damste, Jaap/0000-0002-8683-1854</t>
  </si>
  <si>
    <t>PII S0031-0182(01)00357-1</t>
  </si>
  <si>
    <t>10.1016/S0031-0182(01)00357-1</t>
  </si>
  <si>
    <t>WOS:000173947200011</t>
  </si>
  <si>
    <t>C</t>
  </si>
  <si>
    <t>Miller, AJ; Zhou, S; Yang, SK</t>
  </si>
  <si>
    <t>AMS; AMS</t>
  </si>
  <si>
    <t>Relationship of the arctic and antarctic oscillation to the outgoing longwave radiation</t>
  </si>
  <si>
    <t>11TH CONFERENCE ON ATMOSPHERIC RADIATION</t>
  </si>
  <si>
    <t>Proceedings Paper</t>
  </si>
  <si>
    <t>11th Conference on Atmospheric Radiation</t>
  </si>
  <si>
    <t>JUN 03-07, 2002</t>
  </si>
  <si>
    <t>OGDEN, UT</t>
  </si>
  <si>
    <t>ANNULAR MODES; VARIABILITY; CIRCULATION; REANALYSIS; BUDGET</t>
  </si>
  <si>
    <t>NOAA, NWS, NCEP, Climate Predict Ctr, Camp Springs, MD USA</t>
  </si>
  <si>
    <t>Miller, AJ (corresponding author), NOAA, NWS, NCEP, Climate Predict Ctr, Camp Springs, MD USA.</t>
  </si>
  <si>
    <t>AMER METEOROLOGICAL SOCIETY</t>
  </si>
  <si>
    <t>45 BEACON ST, BOSTON, MA 02108 USA</t>
  </si>
  <si>
    <t>Instruments &amp; Instrumentation; Meteorology &amp; Atmospheric Sciences; Remote Sensing</t>
  </si>
  <si>
    <t>Conference Proceedings Citation Index - Science (CPCI-S)</t>
  </si>
  <si>
    <t>BX57X</t>
  </si>
  <si>
    <t>WOS:000185754900051</t>
  </si>
  <si>
    <t>Harangozo, SA</t>
  </si>
  <si>
    <t>An investigation of the varying extratropical circulation response to ENSO warm events in the South Pacific</t>
  </si>
  <si>
    <t>13TH SYMPOSIUM ON GLOBAL CHANGE AND CLIMATE VARIATIONS</t>
  </si>
  <si>
    <t>13th Symposium on Global Change and Climate Variations</t>
  </si>
  <si>
    <t>JAN 13-17, 2002</t>
  </si>
  <si>
    <t>ORLANDO, FL</t>
  </si>
  <si>
    <t>WINTER; TELECONNECTIONS; TEMPERATURES</t>
  </si>
  <si>
    <t>Harangozo, SA (corresponding author), British Antarctic Survey, Madingley Rd, Cambridge CB3 0ET, England.</t>
  </si>
  <si>
    <t>BV58M</t>
  </si>
  <si>
    <t>WOS:000179447900092</t>
  </si>
  <si>
    <t>Renfrew, IA; Anderson, PS</t>
  </si>
  <si>
    <t>Observations and numerical modelling of an ordinary katabatic wind regime in Coats Land, Antarctica</t>
  </si>
  <si>
    <t>15TH SYMPOSIUM ON BOUNDARY LAYERS AND TURBULENCE</t>
  </si>
  <si>
    <t>15th Symposium on Boundary Layers and Turbulence</t>
  </si>
  <si>
    <t>JUL 15-19, 2002</t>
  </si>
  <si>
    <t>WAGENINGEN, NETHERLANDS</t>
  </si>
  <si>
    <t>Renfrew, IA (corresponding author), British Antarctic Survey, High Cross,Madingley Rd, Cambridge CB3 0ET, England.</t>
  </si>
  <si>
    <t>Renfrew, Ian A/E-4057-2010</t>
  </si>
  <si>
    <t>BX63B</t>
  </si>
  <si>
    <t>WOS:000185937700099</t>
  </si>
  <si>
    <t>Behar, A; Carsey, F; Wilcox, B</t>
  </si>
  <si>
    <t>IEEE; IEEE</t>
  </si>
  <si>
    <t>Polar Traverse Rover development for Mars, Europa and Earth</t>
  </si>
  <si>
    <t>2002 IEEE AEROSPACE CONFERENCE PROCEEDINGS, VOLS 1-7</t>
  </si>
  <si>
    <t>IEEE Aerospace Conference Proceedings</t>
  </si>
  <si>
    <t>IEEE Aerospace Conference</t>
  </si>
  <si>
    <t>MAR 09-16, 2002</t>
  </si>
  <si>
    <t>BIG SKY, MT</t>
  </si>
  <si>
    <t>The history of Antarctic exploration is filled With traverses for scientific and operational purposes, and they continue to be conducted today. Similarly, traverses are a crucial part of planned planetary science and operations. This paper addresses the proposal for development of an autonomous rover capable of making such extreme environment traverses while accomplishing complex tasks.</t>
  </si>
  <si>
    <t>CALTECH, Jet Prop Lab, Avion Syst &amp; Technol Div, Pasadena, CA 91109 USA</t>
  </si>
  <si>
    <t>California Institute of Technology; National Aeronautics &amp; Space Administration (NASA); NASA Jet Propulsion Laboratory (JPL)</t>
  </si>
  <si>
    <t>Behar, A (corresponding author), CALTECH, Jet Prop Lab, Avion Syst &amp; Technol Div, 107-102, Pasadena, CA 91109 USA.</t>
  </si>
  <si>
    <t>Alberto.Behar@jpl.nasa.gov; Frank.D.Carsey@jpl.nasa.gov; Brian.Wilcox@jpl.nasa.gov</t>
  </si>
  <si>
    <t>IEEE</t>
  </si>
  <si>
    <t>345 E 47TH ST, NEW YORK, NY 10017 USA</t>
  </si>
  <si>
    <t>1095-323X</t>
  </si>
  <si>
    <t>0-7803-7231-X</t>
  </si>
  <si>
    <t>AEROSP CONF PROC</t>
  </si>
  <si>
    <t>Engineering, Aerospace</t>
  </si>
  <si>
    <t>BV66P</t>
  </si>
  <si>
    <t>WOS:000179697800036</t>
  </si>
  <si>
    <t>Rajaram, G; Arun, T; Dhar, A</t>
  </si>
  <si>
    <t>Spence, H</t>
  </si>
  <si>
    <t>Diagnostics of magnetosphere-ionosphere coupling over Indian Antarctic station Maitri, from magnetometer and riometer observations during the optical auroral event of 4-5 March 1999</t>
  </si>
  <si>
    <t>ADVANCES IN GLOBAL MAGNETOSPHERIC STRUCTURE, DYNAMICS, AND REGION COUPLING, PROCEEDINGS</t>
  </si>
  <si>
    <t>ADVANCES IN SPACE RESEARCH-SERIES</t>
  </si>
  <si>
    <t>D3 3 Symposium of COSPAR Scientific Commission D held at the 33rd COSPAR Scientific Assembly</t>
  </si>
  <si>
    <t>JUL, 2000</t>
  </si>
  <si>
    <t>WARSAW, POLAND</t>
  </si>
  <si>
    <t>EXPANSIVE PHASE; SUBSTORMS</t>
  </si>
  <si>
    <t>A splendid display of aurora australis was observed over the Indian Antarctic station Maitri (geomag. lat. 62degrees.8 S, long. 52degrees.8 E; L = 4.8) on the night of 4-5 Mar 1999. The changes recorded by a fluxgate magnetometer, and a 30 MHz riometer operating at Maitri are interpreted in terms of currently - understood auroral physics. Interplanetary magnetic field and plasma parameters recorded by the WIND satellite indicate very high solar wind velocities (500-600 km/s), and prolonged southward B(z) of average value (similar to5 nT), during the auroral event. Ion density is however an average 3-4/cm(3), and Ion pressure only 2-3 nano Pascals during the event. (C) 2002 COSPAR. Published by Elsevier Science Ltd. All rights reserved.</t>
  </si>
  <si>
    <t>Indian Inst Geomagnetism, Bombay 400005, Maharashtra, India</t>
  </si>
  <si>
    <t>Rajaram, G (corresponding author), Indian Inst Geomagnetism, Colaba, Bombay 400005, Maharashtra, India.</t>
  </si>
  <si>
    <t>KIDLINGTON</t>
  </si>
  <si>
    <t>THE BOULEVARD, LANGFORD LANE,, KIDLINGTON OX5 1GB, OXFORD, ENGLAND</t>
  </si>
  <si>
    <t>0273-1177</t>
  </si>
  <si>
    <t>ADV SPACE RES-SERIES</t>
  </si>
  <si>
    <t>PII S0273-1177(02)00687-7</t>
  </si>
  <si>
    <t>10.1016/S0273-1177(02)80220-4</t>
  </si>
  <si>
    <t>Engineering, Aerospace; Astronomy &amp; Astrophysics; Geosciences, Multidisciplinary; Meteorology &amp; Atmospheric Sciences</t>
  </si>
  <si>
    <t>Engineering; Astronomy &amp; Astrophysics; Geology; Meteorology &amp; Atmospheric Sciences</t>
  </si>
  <si>
    <t>BW04U</t>
  </si>
  <si>
    <t>WOS:000180725700006</t>
  </si>
  <si>
    <t>Brierley, AS; Thomas, DN</t>
  </si>
  <si>
    <t>Southward, AJ; Tyler, PA; Young, CM; Fuiman, LA</t>
  </si>
  <si>
    <t>Ecology of Southern Ocean pack ice</t>
  </si>
  <si>
    <t>ADVANCES IN MARINE BIOLOGY, VOL 43</t>
  </si>
  <si>
    <t>Advances in Marine Biology</t>
  </si>
  <si>
    <t>ANTARCTIC SEA-ICE; KRILL EUPHAUSIA-SUPERBA; DISSOLVED ORGANIC-MATTER; EASTERN WEDDELL-SEA; TRANSPARENT EXOPOLYMER PARTICLES; CALANOIDES-ACUTUS COPEPODA; MARINE PRIMARY PRODUCTION; SPRING-SUMMER TRANSITION; FATTY-ACID COMPOSITION; LIFE-CYCLE STRATEGIES</t>
  </si>
  <si>
    <t>Univ St Andrews, Sch Biol, Gatty Marine Lab, St Andrews KY16 8LB, Fife, Scotland; Univ Wales Bangor, Sch Ocean Sci, Menai Bridge LL59 5EY, Anglesey, Wales</t>
  </si>
  <si>
    <t>University of St Andrews; Bangor University</t>
  </si>
  <si>
    <t>Univ St Andrews, Sch Biol, Gatty Marine Lab, St Andrews KY16 8LB, Fife, Scotland.</t>
  </si>
  <si>
    <t>andrew.brierley@st-andrews.ac.uk; d.thomas@bangor.ac.uk</t>
  </si>
  <si>
    <t>Thomas, David Neville/B-1448-2010; Brierley, Andrew/G-8019-2011</t>
  </si>
  <si>
    <t>Thomas, David Neville/0000-0001-8832-5907; Brierley, Andrew/0000-0002-6438-6892</t>
  </si>
  <si>
    <t>ACADEMIC PRESS LTD-ELSEVIER SCIENCE LTD</t>
  </si>
  <si>
    <t>125 LONDON WALL, LONDON EC2Y 5AS, ENGLAND</t>
  </si>
  <si>
    <t>0065-2881</t>
  </si>
  <si>
    <t>0-12-026143-X</t>
  </si>
  <si>
    <t>ADV MAR BIOL</t>
  </si>
  <si>
    <t>Adv. Mar. Biol.</t>
  </si>
  <si>
    <t>U14</t>
  </si>
  <si>
    <t>10.1016/S0065-2881(02)43005-2</t>
  </si>
  <si>
    <t>BU93H</t>
  </si>
  <si>
    <t>WOS:000177426600003</t>
  </si>
  <si>
    <t>Lauriat-Rage, A; Carriol, RP; Lozouet, P; Giret, A; Leyrit, H</t>
  </si>
  <si>
    <t>Miocene molluscs and barnacles from Mont Rond, Kerguelen Islands</t>
  </si>
  <si>
    <t>ALCHERINGA</t>
  </si>
  <si>
    <t>Kerguelen Islands; Indian Ocean; Miocene; taxonomy; stratigraphy; palaeobiogeography; palaeoecology</t>
  </si>
  <si>
    <t>A sedimentary deposit discovered at Kerguelen Islands in 1988 is interbedded in the Cape MacLear cliffs, near Mont Rond (Ronarc'h Peninsula). The age of this oceanic deposit is considered to be lower to middle Miocene as indicated by isotopic dating of both the underlying and overlying basalts. This deposit yields a fauna essentially consisting of molluscs (bivalves, gastropods) and crustaceans (cirripedes), This fauna exhibits some similarities to Miocene to Recent austral faunas (New Zealand, Argentina) as a result of the establishment of the Antarctic Circumpolar Current. However, it has no species in common with the extant Kerguelen fauna. The Mont Rond fossil assemblage is best compared with either of two types of extant communities developed on a bare sandy sea floor where infaunal species are dominant, but most likely to an opportunistic one in depths from approximately 10 to 80 m.</t>
  </si>
  <si>
    <t>Museum Natl Hist Nat, Lab Paleontol, CNRS UMR 8569, 8 Rue Buffon, F-75005 Paris, France; Museum Natl Hist Nat, Lab Biol Invertebres Marins &amp; Malacol, CNRS ESA 8044, F-75005 Paris, France; Univ St Etienne, Dept Geol Petrol Geochim, CNRS UMR 6524, F-42023 St Etienne 2, France; Inst Polytech St Louis, Inst Geol Albert Lapparent, F-95092 Cergy Pontoise, France</t>
  </si>
  <si>
    <t>Museum National d'Histoire Naturelle (MNHN); Museum National d'Histoire Naturelle (MNHN); Universite Jean Monnet; Centre National de la Recherche Scientifique (CNRS); CNRS - National Institute for Earth Sciences &amp; Astronomy (INSU)</t>
  </si>
  <si>
    <t>Lauriat-Rage, A (corresponding author), Museum Natl Hist Nat, Lab Paleontol, CNRS UMR 8569, 8 Rue Buffon, F-75005 Paris, France.</t>
  </si>
  <si>
    <t>alaurage@mnhnfr.com</t>
  </si>
  <si>
    <t>0311-5518</t>
  </si>
  <si>
    <t>1752-0754</t>
  </si>
  <si>
    <t>Alcheringa</t>
  </si>
  <si>
    <t>10.1080/03115510208619257</t>
  </si>
  <si>
    <t>567PK</t>
  </si>
  <si>
    <t>WOS:000176493000019</t>
  </si>
  <si>
    <t>McMinn, A</t>
  </si>
  <si>
    <t>Marine Quaternary dinoflagellate cysts of Australia, Papua-New Guinea, New Zealand and the Southern Ocean: a review</t>
  </si>
  <si>
    <t>Quaternary; Pleistocene; recent; dinoflagellate cyst; biostratigraphy; palaeotemperature; salinity; Australia; New Zealand; Southern Ocean</t>
  </si>
  <si>
    <t>GYMNODINIUM-CATENATUM; CHATHAM RISE; SEDIMENTS; WATERS; WALES</t>
  </si>
  <si>
    <t>Dinoflagellate cysts are widespread in Australian, Papua-New Guinea, New Zealand and Southern Ocean Pleistocene and Recent marine sediments. They occur in estuaries and deltas as well as on the continental shelf and in ocean basins. They have proven invaluable in palaeoecology for the interpretation of changing temperature, salinity and distance from shore in particular. These changes have also been used to examine climate change in Quaternary sequences. A small number of First Appearance Datums (FADs) and Last Appearance Datums (LADs) within this time period allows only limited biostratigraphic definition. LADs within the Pleistocene of southern Australia include Achomosphaera ramulifera and Spiniferites rubinus. Introduction within the past 50 years of several taxa, such as Gymnodinium catenatum and Gymnodinium microreticulatum, has been attributed to ballast water import.</t>
  </si>
  <si>
    <t>Univ Tasmania, Inst Antarctic &amp; So Ocean Studies, Hobart, Tas 7001, Australia</t>
  </si>
  <si>
    <t>McMinn, A (corresponding author), Univ Tasmania, Inst Antarctic &amp; So Ocean Studies, Box 252-77, Hobart, Tas 7001, Australia.</t>
  </si>
  <si>
    <t>McMinn, Andrew/A-9910-2008</t>
  </si>
  <si>
    <t>GEOLOGICAL SOCIETY AUSTRALIA INC</t>
  </si>
  <si>
    <t>SYDNEY</t>
  </si>
  <si>
    <t>701 WYNYARD HOUSE, 301 GEORGE STREET, SYDNEY, NSW 2000, AUSTRALIA</t>
  </si>
  <si>
    <t>10.1080/03115510208619541</t>
  </si>
  <si>
    <t>614AY</t>
  </si>
  <si>
    <t>WOS:000179165700011</t>
  </si>
  <si>
    <t>Chisham, G; Pinnock, M</t>
  </si>
  <si>
    <t>Assessing the contamination of SuperDARN global convection maps by non-F-region backscatter</t>
  </si>
  <si>
    <t>ionosphere; plasma convection; radio science; radio wave propagation; instruments and techniques</t>
  </si>
  <si>
    <t>HIGH-LATITUDE CONVECTION; HF RADAR OBSERVATIONS; SMALL-SCALE IRREGULARITIES; IONOSPHERIC IRREGULARITIES; VELOCITY-MEASUREMENTS; ECHOES; CUTLASS; DRIFT; IMF; SUBSTORM</t>
  </si>
  <si>
    <t>Global convection mapping using line-of-sight Doppler velocity data from the Super Dual Auroral Radar Network (SuperDARN) is now an accepted method of imaging high-latitude ionospheric convection. This mapping process requires that the flow measured by the radars is defined solely by the convection electric field. This is generally only true of radar backscatter from the ionospheric F-region. We investigate the extent to which the E-region and ground backscatter in the SuperDARN data set may be misidentified as F-region backscatter, and assess the contamination of global convection maps which results from the addition of this non-F-region backscatter. We present examples which highlight the importance of identifying this contamination, especially with regard to the mesoscale structure in the convection maps.</t>
  </si>
  <si>
    <t>Chisham, G (corresponding author), British Antarctic Survey, NERC, High Cross,Madingley Rd, Cambridge CB3 0ET, England.</t>
  </si>
  <si>
    <t>JAN</t>
  </si>
  <si>
    <t>10.5194/angeo-20-13-2002</t>
  </si>
  <si>
    <t>526XA</t>
  </si>
  <si>
    <t>gold, Green Submitted, Green Accepted</t>
  </si>
  <si>
    <t>WOS:000174154100002</t>
  </si>
  <si>
    <t>Chisham, G; Pinnock, M; Coleman, IJ; Hairston, MR; Walker, ADM</t>
  </si>
  <si>
    <t>An unusual geometry of the ionospheric signature of the cusp: implications for magnetopause merging sites</t>
  </si>
  <si>
    <t>ionosphere; plasma convection; magnetospheric physics; magnetopause, cusp, and boundary layers; space plasma physics; magnetic reconnection</t>
  </si>
  <si>
    <t>HF-RADAR OBSERVATIONS; STEADY MAGNETOSPHERIC CONVECTION; INTERPLANETARY MAGNETIC-FIELD; SMALL-SCALE IRREGULARITIES; HIGH-LATITUDE CONVECTION; BOUNDARY-LAYER CAMPAIGN; FLUX-TRANSFER EVENTS; CAP POTENTIAL DROP; F-REGION; DAYSIDE MAGNETOPAUSE</t>
  </si>
  <si>
    <t>The HF radar Doppler spectral width boundary (SWB) in the cusp represents a very good proxy for the equatorward edge of cusp ion precipitation in the dayside ionosphere. For intervals where the Interplanetary Magnetic Field (IMF) has a southward component (B-z &lt; 0), the SWB is typically displaced poleward of the actual location of the open-closed field line boundary (or polar cap boundary, PCB). This is due to the poleward motion of newly-reconnected magnetic field lines during the cusp ion travel time from the reconnection X-line to the ionosphere. This paper presents observations of the dayside ionosphere from SuperDARN HF radars in Antarctica during an extended interval (similar to 12 h) of quasi-steady IMF conditions (B-y similar to B-z &lt; 0). The observations show a quasi-stationary feature in the SWB in the morning sector close to magnetic local noon which takes the form of a 2degrees poleward distortion of the boundary. We suggest that two separate reconnection sites exist on the magnetopause at this time, as predicted by the anti-parallel merging hypothesis for these IMF conditions. The observed cusp geometry is a consequence of different ion travel times from the reconnection X-lines to the southern ionosphere on either side of magnetic local noon. These observations provide strong evidence to support the anti-parallel merging hypothesis. This work also shows that mesoscale and small-scale structure in the SWB cannot always be interpreted as reflecting structure in the dayside PCB. Localised variations in the convection flow across the merging gap, or in the ion travel time from the reconnection X-line to the ionosphere, can lead to localised variations in the offset of the SWB from the PCB. These caveats should also be considered when working with other proxies for the dayside PCB which are associated with cusp particle precipitation, such as the 630 nm cusp auroral emission.</t>
  </si>
  <si>
    <t>British Antarctic Survey, NERC, Cambridge CB3 0ET, England; Univ Texas, Ctr Space Sci, Richardson, TX USA; Univ Natal, Sch Pure &amp; Appl Phys, ZA-4041 Durban, South Africa</t>
  </si>
  <si>
    <t>UK Research &amp; Innovation (UKRI); Natural Environment Research Council (NERC); NERC British Antarctic Survey; University of Texas System; University of Texas Dallas; University of Kwazulu Natal</t>
  </si>
  <si>
    <t>; Walker, David/K-6906-2016</t>
  </si>
  <si>
    <t>Hairston, Marc/0000-0003-4524-4837; Walker, David/0000-0002-4581-752X</t>
  </si>
  <si>
    <t>10.5194/angeo-20-29-2002</t>
  </si>
  <si>
    <t>Green Accepted, Green Submitted, gold</t>
  </si>
  <si>
    <t>WOS:000174154100003</t>
  </si>
  <si>
    <t>Frezzotti, M; Gandolfi, S; La Marca, F; Urbini, S</t>
  </si>
  <si>
    <t>Winther, JG; Solberg, R</t>
  </si>
  <si>
    <t>Snow dunes and glazed surfaces in Antarctica: new field and remote-sensing data</t>
  </si>
  <si>
    <t>ANNALS OF GLACIOLOGY, VOL 34, 2002</t>
  </si>
  <si>
    <t>Annals of Glaciology-Series</t>
  </si>
  <si>
    <t>4th International Symposium on Remote Sensing in Glaciology</t>
  </si>
  <si>
    <t>JUN 03-08, 2001</t>
  </si>
  <si>
    <t>UNIV MARYLAND, COLLEGE PK, MD</t>
  </si>
  <si>
    <t>UNIV MARYLAND</t>
  </si>
  <si>
    <t>DRONNING MAUD LAND; KATABATIC WINDS; ICE; FLOW; ACCUMULATION; ZONE</t>
  </si>
  <si>
    <t>As part of the International Trans-Antarctic Scientific Expedition project, the Italian Antarctic Programme undertook two traverses from the Terra Nova station to Talos Dome and to Dome C. Along the traverses, the party carried out several tasks (drilling, glaciological and geophysical exploration). The difference in spectral response between glazed surfaces and snow makes it simple to identify these areas on visible/near-infrared satellite images. Integration of field observation and remotely sensed data allows the description of different mega-morphologic features: wide glazed surfaces, sastrugi glazed surface fields, transverse dunes and megadunes. Topography global positioning system, ground penetrating radar and detailed snow-surface surveys have been carried out, providing new information about the formation and evolution of mega-morphologic features. The extensive presence, (up to 30%) of glazed surface caused by a long hiatus in accumulation, with an accumulation rate of nil or slightly negative, has a significant impact on the surface mass balance of a wide area of the interior part of East Antarctica. The aeolian processes creating these features have important implications for the selection of optimum sites for ice coring, because orographic variations of even a few metres per kilometre have a significant impact on the snow-accumulation process. Remote-sensing surveys of aeolian macro-morphology provide a proven, high-quality method for detailed mapping of the interior of the ice sheet's prevalent wind direction and could provide a relative indication of wind intensity.</t>
  </si>
  <si>
    <t>ENEA, Ctr Ric Casaccia, I-00100 Rome, Italy; Univ Bologna, DISTART, I-40136 Bologna, Italy; Univ Roma La Sapienza, Dipartimento ICMMPM, I-00184 Rome, Italy; Univ Genoa, DIPTERIS, Ist Nazl Geofis &amp; Vulcanol, I-16134 Genoa, Italy</t>
  </si>
  <si>
    <t>Italian National Agency New Technical Energy &amp; Sustainable Economics Development; University of Bologna; Sapienza University Rome; Istituto Nazionale Geofisica e Vulcanologia (INGV); University of Genoa</t>
  </si>
  <si>
    <t>ENEA, Ctr Ric Casaccia, POB 2400, I-00100 Rome, Italy.</t>
  </si>
  <si>
    <t>FREZZOTTI, Massimo/AAK-7275-2020; Gandolfi, Stefano/A-4892-2016</t>
  </si>
  <si>
    <t>FREZZOTTI, Massimo/0000-0002-2461-2883; urbini, stefano/0000-0002-8053-4197; Gandolfi, Stefano/0000-0003-2096-5670</t>
  </si>
  <si>
    <t>INT GLACIOLOGICAL SOC</t>
  </si>
  <si>
    <t>LENSFIELD RD, CAMBRIDGE CB2 1ER, ENGLAND</t>
  </si>
  <si>
    <t>0260-3055</t>
  </si>
  <si>
    <t>0-946417-29-6</t>
  </si>
  <si>
    <t>ANN GLACIOL-SER</t>
  </si>
  <si>
    <t>10.3189/172756402781817851</t>
  </si>
  <si>
    <t>Geosciences, Multidisciplinary; Remote Sensing</t>
  </si>
  <si>
    <t>Geology; Remote Sensing</t>
  </si>
  <si>
    <t>BU99C</t>
  </si>
  <si>
    <t>WOS:000177565100013</t>
  </si>
  <si>
    <t>Kärkäs, E; Granberg, HB; Kanto, K; Rasmus, K; Lavoie, C; Leppäranta, M</t>
  </si>
  <si>
    <t>Physical properties of the seasonal snow cover in Dronning Maud Land, East Antarctica</t>
  </si>
  <si>
    <t>ANNALS OF GLACIOLOGY</t>
  </si>
  <si>
    <t>UNIV MARYLAND, COLLEGE PK, MARYLAND</t>
  </si>
  <si>
    <t>SURFACE-ENERGY BALANCE; CLIMATE SYSTEM MODEL; SEA-ICE; TEMPERATURE-CHANGES; ACCUMULATION RATES; BLUE-ICE; VARIABILITY; SHEET; CORES</t>
  </si>
  <si>
    <t>Snow stratigraphy was analyzed in the Maudheimvidda area of western Dronning Maud Land, East Antarctica, during austral summer 1999/2000 as a part of the Finnish Antarctic Research Programme (FINNARP). Measurements were made in shallow (1-2 in) snow pits along a 350 km transect from the coast to the polar plateau, covering at least one annual cycle and an elevation range from sea level to about 2500 in. The aim of the study is to document spatial and temporal variations in snow-cover properties, with the further aim of relating these variations to environmental factors and to patterns observable by remote sensing. The measurements suggest five principal snow zones: (1) sea ice, (11) the seaward edge zone of the ice shelf, (111) the inner parts of the ice shelf, (iv) the snow cover above the grounding line and (v) the local topographic highs. Local topographic highs such as ice domes and ice rises differ from other snow environments: the snow is less densely packed, possibly an indication of locally reduced speed of the katabatic outflow. Fewer and thinner crusts on the topographic highs are consistent with RADARSAT backscatter variations.</t>
  </si>
  <si>
    <t>Univ Helsinki, Dept Phys Sci, Div Geophys, FIN-00014 Helsinki, Finland; Univ Sherbrooke, Ctr Applicat &amp; Rech Teledetect, CARTEL, Sherbrooke, PQ J1K 2R1, Canada</t>
  </si>
  <si>
    <t>University of Helsinki; University of Sherbrooke</t>
  </si>
  <si>
    <t>Kärkäs, E (corresponding author), Univ Helsinki, Dept Phys Sci, Div Geophys, POB 64, FIN-00014 Helsinki, Finland.</t>
  </si>
  <si>
    <t>Lepparanta, Matti/M-7507-2017</t>
  </si>
  <si>
    <t>Lepparanta, Matti/0000-0002-4754-5564</t>
  </si>
  <si>
    <t>ANN GLACIOL</t>
  </si>
  <si>
    <t>10.3189/172756402781817554</t>
  </si>
  <si>
    <t>WOS:000177565100014</t>
  </si>
  <si>
    <t>Rau, F; Braun, M</t>
  </si>
  <si>
    <t>The regional distribution of the dry-snow zone on the Antarctic Peninsula north of 70° S</t>
  </si>
  <si>
    <t>SYNTHETIC-APERTURE RADAR; ISLAND ICE CAP; SAR DATA; GLACIER; VARIABILITY; SHEETS</t>
  </si>
  <si>
    <t>in order to estimate the contribution of the Antarctic Peninsula to global sea-level rise as a result of the observed warming in this region, the spatial extent of snowmelt-producing areas needs to be quantified. By using the dry-snow line derived from synthetic aperture radar (SAR) imagery as the uppermost limit of frequent or occasional surface melt, an estimation of the spatial extent of areas with non-zero ablation rates is facilitated. Three calibrated RADARSAT ScanSAR mosaics covering the northern Antarctic Peninsula were analyzed applying a threshold of -14 dB to identify the dry-snow line. The area of the dry-snow radar zone was determined to be 23 300 +/- 2000 km(2). Areas affected frequently or occasionally by snowmelt cover 85 000 +/- 9000 km(2). In addition, the dry-snow line as derived from multi-temporal ERS-1/-2 imagery serves as an indicator of climate variability in the uppermost areas of polar glaciers and ice sheets. The upward shift of the dry-snow line between 1992 and 1998 on the eastern side of the Antarctic Peninsula at 68degrees S is interpreted as a direct response to the increasing number of high-temperature events during the 1991-2000 decade.</t>
  </si>
  <si>
    <t>Univ Freiburg, Dept Phys Geog, D-79085 Freiburg, Germany</t>
  </si>
  <si>
    <t>University of Freiburg</t>
  </si>
  <si>
    <t>Rau, F (corresponding author), Univ Freiburg, Dept Phys Geog, Werderring 4, D-79085 Freiburg, Germany.</t>
  </si>
  <si>
    <t>Braun, Matthias/A-4968-2009; Braun, Matthias H/S-4693-2016</t>
  </si>
  <si>
    <t>Braun, Matthias/0000-0001-5169-1567;</t>
  </si>
  <si>
    <t>10.3189/172756402781817914</t>
  </si>
  <si>
    <t>WOS:000177565100015</t>
  </si>
  <si>
    <t>Shuman, CA; Comiso, JC</t>
  </si>
  <si>
    <t>In situ and satellite surface temperature records in Antarctica</t>
  </si>
  <si>
    <t>GREENLAND ICE-SHEET; VARIABILITY; PENINSULA; CLIMATE; EXTENT; TRENDS</t>
  </si>
  <si>
    <t>Air-temperature records (T-A) during 1992 from five inland Antarctic automatic weather station (AWS) sites were compared with the best available infrared temperatures (T-IR) from the Advanced Very High Resolution Radiometer (AVHRR) as well its calibrated passive-microwave temperatures (T-C) from the Special Sensor Microwave/Imager (SSM/I). Daily and monthly average T-A, T-IR, and T-C data indicate that each approach captures generally similar trends at each site but each approach also has limitations. AWS T-A data are considered the most accurate but represent spatially restricted areas and may have long gaps due to sensor or transmission problems. AVHRR T-IR data have daily variability similar to the T-A record but have numerous small gaps due to Cloud cover or observation interruptions. An offset between T-A and T-IR, (&gt;4 K) at the South Pole site was identified that may be due to the inclusion of data with large satellite scan angles necessary to cover this area. SSM/I T-C data have the most continuity but exhibit calibrat- ion problems, a significantly damped daily response and do not cover all of Antarctica. Individual daily differences between T-A and T-IR as well as T-A and T-C can exceed 17 K, but all sites have mean daily differences of about 1 K or better, after compensating for the offset at South Pole, and standard deviations of &lt; 6 K. Monthly temperature differences are typically 5 K or better, with standard deviations generally &lt; 3 K. And finally, using the available data, the 1992 average temperature differences are &lt; 1 K.</t>
  </si>
  <si>
    <t>Univ Maryland, Earth Syst Sci Interdisciplinary Ctr, College Pk, MD 20742 USA; NASA, Goddard Space Flight Ctr, Lab Hydrospher Proc, Oceans &amp; Ice Branch, Greenbelt, MD 20771 USA</t>
  </si>
  <si>
    <t>University System of Maryland; University of Maryland College Park; National Aeronautics &amp; Space Administration (NASA); NASA Goddard Space Flight Center</t>
  </si>
  <si>
    <t>Shuman, CA (corresponding author), Univ Maryland, Earth Syst Sci Interdisciplinary Ctr, College Pk, MD 20742 USA.</t>
  </si>
  <si>
    <t>Comiso, Josefino/0000-0002-0875-7433</t>
  </si>
  <si>
    <t>10.3189/172756402781818003</t>
  </si>
  <si>
    <t>WOS:000177565100018</t>
  </si>
  <si>
    <t>Fahnestock, MA; Abdalati, W; Shuman, CA</t>
  </si>
  <si>
    <t>Long melt seasons on ice shelves of the Antarctic Peninsula: an analysis using satellite-based microwave emission measurements</t>
  </si>
  <si>
    <t>BREAK-UP; SHEET; RETREAT; COLLAPSE</t>
  </si>
  <si>
    <t>We have examined the record of melt-season duration on the Antarctic Peninsula using two techniques for detecting the presence of a melt signal in microwave-emission time series covering the period 1978-2000. We have obtained similar estimates of melt-season length using the cross-polarized gradient ratio (XPGR) technique and calibrations previously applied in Greenland and a technique which detects the jump In emission caused by melt without using a sensor- and frequency-dependent threshold value. The close correspondence between results from the two techniques on peninsula ice shelves suggests that the XPGR analysis can be used over the length of the time series. The results show that the long melt seasons of 1992/93 and several later years were exceptional occurrences on the northern parts of the Larsen Ice Shelf These melt seasons were followed by disintegration events, supporting a possible cause-and-effect relationship.</t>
  </si>
  <si>
    <t>Univ Maryland, Earth Syst Studies Interdisciplinary Ctr, College Pk, MD 20742 USA; NASA Headquarters, Washington, DC 20546 USA</t>
  </si>
  <si>
    <t>University System of Maryland; University of Maryland College Park; National Aeronautics &amp; Space Administration (NASA); Mary W. Jackson NASA Headquarters</t>
  </si>
  <si>
    <t>Fahnestock, MA (corresponding author), Univ Maryland, Earth Syst Studies Interdisciplinary Ctr, College Pk, MD 20742 USA.</t>
  </si>
  <si>
    <t>Fahnestock, Mark A/N-2678-2013</t>
  </si>
  <si>
    <t>10.3189/172756402781817798</t>
  </si>
  <si>
    <t>WOS:000177565100020</t>
  </si>
  <si>
    <t>Fujita, S; Maeno, H; Furukawa, T; Matsuoka, K</t>
  </si>
  <si>
    <t>Scattering of VHF radio waves from within the top 700 m of the Antarctic ice sheet and its relation to the depositional environment: a case-study along the Syowa-Mizuho-Dome Fuji traverse</t>
  </si>
  <si>
    <t>RADAR; REFLECTIONS; DEPTH</t>
  </si>
  <si>
    <t>Radio-wave scattering is a convenient method to image the properties of large internal regions of ice sheets. We used a ground-based radar system with short pulses of 60 and 179 MHz frequencies to scatter off internal strata within 100-700 in of the surface in the ice sheet of East Antarctica. Data were examined along all 1150 km long traverse line that was approximately along the ice flowline from inland of Dome Fuji station to the coast. The scattered waves are from strata, and the dominant cause of the scattering was changes in dielectric permittivity across the strata. Therefore, density fluctuations primarily cause the scattering, although variations in ice-crystal fabrics and acidity could also have effects. The power scattered from the same depths varied by &gt;15 dB from one location to another. These variations correlate with the accumulation rate, changes in the surface slope, and subglacial bedrock undulations. Variations of the scattered power suggest that density contrasts in the strata are highly variable depending oil these interdependent local conditions. The distribution of strata along the route allowed estimates of the ice-flow trajectories to depths of about 250 m.</t>
  </si>
  <si>
    <t>Hokkaido Univ, Grad Sch Engn, Dept Appl Phys, Sapporo, Hokkaido 0608628, Japan; Commun Res Labs, Koganei, Tokyo 1848795, Japan; Natl Inst Polar Res, Itabashi Ku, Tokyo 1738515, Japan; Hokkaido Univ, Inst Low Temp Sci, Sapporo, Hokkaido 0600819, Japan</t>
  </si>
  <si>
    <t>Hokkaido University; National Institute of Information &amp; Communications Technology (NICT) - Japan; Research Organization of Information &amp; Systems (ROIS); National Institute of Polar Research (NIPR) - Japan; Hokkaido University</t>
  </si>
  <si>
    <t>Fujita, S (corresponding author), Hokkaido Univ, Grad Sch Engn, Dept Appl Phys, Sapporo, Hokkaido 0608628, Japan.</t>
  </si>
  <si>
    <t>Fujita, Shuji/A-7884-2016; Matsuoka, Kenichi/B-7298-2017</t>
  </si>
  <si>
    <t>Fujita, Shuji/0000-0003-0127-0777; Matsuoka, Kenichi/0000-0002-3587-3405</t>
  </si>
  <si>
    <t>10.3189/172756402781817888</t>
  </si>
  <si>
    <t>WOS:000177565100024</t>
  </si>
  <si>
    <t>Doake, CSM; Corr, HFJ; Jenkins, A</t>
  </si>
  <si>
    <t>Polarization of radio waves transmitted through Antarctic ice shelves</t>
  </si>
  <si>
    <t>POLAR ICE; SHEETS; RADAR</t>
  </si>
  <si>
    <t>The polarization behaviour of radar waves transmitted through two Antarctic ice shelves has been investigated using a step frequency radar with a centre frequency of 300 MHz and a bandwidth of 150 MHz. One site was on Brunt Ice Shelf at a site near Halley station, and 17 sites were oil George VI Ice Shelf near the southern ice front. Birefringence in the ice dominated the behaviour oil Brunt Ice Shelf, where the anisotropy in the effective permittivity was found to be about 0.14%. On George VI Ice Shelf, a highly anisotropic reflecting surface was the controlling feature, suggesting a fluted ice-shelf base formed by oceanographic currents.</t>
  </si>
  <si>
    <t>Doake, CSM (corresponding author), British Antarctic Survey, NERC, Madingley Rd, Cambridge CB3 0ET, England.</t>
  </si>
  <si>
    <t>NERC [bas010002] Funding Source: UKRI; Natural Environment Research Council [bas010002] Funding Source: researchfish</t>
  </si>
  <si>
    <t>10.3189/172756402781817572</t>
  </si>
  <si>
    <t>WOS:000177565100025</t>
  </si>
  <si>
    <t>Ermolin, E; De Angelis, H; Skvarca, P</t>
  </si>
  <si>
    <t>Mapping of permafrost on Vega Island, Antarctic Peninsula, using satellite images and aerial photography</t>
  </si>
  <si>
    <t>The work presented deals with detailed mapping of permafrost in Devil Bay, Vega Island, northeastern Antarctic Peninsula. Mapping of landforms and permafrost features within a periglacial plain was performed using high resolution visible satellite images and aerial photography. Two maps of permafrost were produced: one based oil analysis and interpretation of visible satellite imagery and another oil low-altitude aerial photography, both yielding similar results. The principles of morphogenesis were applied to map production, distinguishing both the syneryogenic and epicryogenic formations and each constitutive cryofacies. The interpretation of remote-sensing data allowed areas of occurrence of particular cryogenic processes to be defined. Remote sensing was found to be useful for permafrost mapping at both medium and large scales, and applicable for, future extension to other regions in Antarctica.</t>
  </si>
  <si>
    <t>Inst Antartico Argentino, Buenos Aires, DF, Argentina</t>
  </si>
  <si>
    <t>Instituto Antartico Argentino</t>
  </si>
  <si>
    <t>Ermolin, E (corresponding author), Inst Antartico Argentino, Cerrito 1248,C1010AAZ, Buenos Aires, DF, Argentina.</t>
  </si>
  <si>
    <t>De Angelis, Hernán/E-1352-2012; De Angelis, Hernán/AAD-9020-2019</t>
  </si>
  <si>
    <t>De Angelis, Hernán/0000-0002-8584-272X; De Angelis, Hernán/0000-0002-8584-272X</t>
  </si>
  <si>
    <t>10.3189/172756402781817824</t>
  </si>
  <si>
    <t>WOS:000177565100028</t>
  </si>
  <si>
    <t>Rignot, E; Vaughan, DG; Schmeltz, M; Dupont, T; MacAyeal, D</t>
  </si>
  <si>
    <t>Acceleration of Pine Island and Thwaites Glaciers, West Antarctica</t>
  </si>
  <si>
    <t>ICE-SHEET; RADAR INTERFEROMETRY; MASS-BALANCE; MODEL</t>
  </si>
  <si>
    <t>Recent satellite investigations revealed that in the 1990s the grounding line of Pine Island and Thwaites Glaciers, West Antarctica, retreated several kin, the Ice surface on the interior of the basins lowered 10 cm a(-1), and Pine Island Glacier thinned 1.6 m a(-1). These observations, however, were not sufficient to determine the cause of the changes. Here, we present satellite radar interferometry data that show the thinning and retreat of Pine Island Glacier are caused by an acceleration of ice flow of about 18 +/- 2% in 8 years. Thwaites Glacier maintained a nearly constant flow regime at its center, but widened along the sides, and increased its 30 +/- 15% mass deficit by another 4% in 4 years. The combined mass loss from both glaciers, if correct, contributes an estimated 0.08 +/- 0.03 mm a(-1) global sea-level rise in 2000.</t>
  </si>
  <si>
    <t>CALTECH, Jet Prop Lab, Pasadena, CA 91109 USA; British Antarctic Survey, NERC, Cambridge CB3 0ET, England; Penn State Univ, University Pk, PA 16802 USA; Univ Chicago, Dept Geophys Sci, Chicago, IL 60637 USA</t>
  </si>
  <si>
    <t>National Aeronautics &amp; Space Administration (NASA); NASA Jet Propulsion Laboratory (JPL); California Institute of Technology; UK Research &amp; Innovation (UKRI); Natural Environment Research Council (NERC); NERC British Antarctic Survey; Pennsylvania Commonwealth System of Higher Education (PCSHE); Pennsylvania State University; Pennsylvania State University - University Park; University of Chicago</t>
  </si>
  <si>
    <t>Rignot, E (corresponding author), CALTECH, Jet Prop Lab, 4800 Oak Grove Dr, Pasadena, CA 91109 USA.</t>
  </si>
  <si>
    <t>Rignot, Eric/A-4560-2014; Vaughan, David/C-8348-2011</t>
  </si>
  <si>
    <t>Rignot, Eric/0000-0002-3366-0481; Vaughan, David/0000-0002-9065-0570; MacAyeal, Douglas/0000-0003-0647-6176</t>
  </si>
  <si>
    <t>Natural Environment Research Council [bas010002] Funding Source: researchfish; NERC [bas010002] Funding Source: UKRI</t>
  </si>
  <si>
    <t>10.3189/172756402781817950</t>
  </si>
  <si>
    <t>WOS:000177565100029</t>
  </si>
  <si>
    <t>Joughin, I</t>
  </si>
  <si>
    <t>Ice-sheet velocity mapping: a combined interferometric and speckle-tracking approach</t>
  </si>
  <si>
    <t>SATELLITE RADAR INTERFEROMETRY; FLOW; GREENLAND; MOTION</t>
  </si>
  <si>
    <t>The first and second RADARSAT Antarctic Mapping Missions (AMM-1 and -2) have now acquired interferometric synthetic aperture radar (SAR) over much of the ice sheet. The RADARSAT 24 day repeat cycle is nearly ideal for measuring slow ice motion (e.g. &lt; 100 m a(-1)), but application of SAR interferometry is limited in Easter-moving areas. With a 1 day, repeat period, ERS-1/-2 tandem SAR data are much better matched to fast motion, but are not always available. Fortunately, several authors have demonstrated the ability to measure velocity in fast-moving areas by tracking SAR speckle from image to image, which works well even in the absence of visible features. While these estimates have intrinsically lower resolution and poorer accuracy than direct phase measurements, they serve well in areas where there are no data suitable for conventional interferometry. This paper describes algorithms I have developed for merging interferometric and speckle-tracking data from multiple swaths to form a single seamless mosaic of velocity At each point in the mosaic, all the available data are combined to produce estimates of the velocity and the associated error. This technique is demonstrated using RADARSAT data collected over Lambert Glacier, Antarctica, during AMM-1 and -2.</t>
  </si>
  <si>
    <t>CALTECH, Jet Prop Lab, Pasadena, CA 91109 USA</t>
  </si>
  <si>
    <t>Joughin, I (corresponding author), CALTECH, Jet Prop Lab, 4800 Oak Grove Dr, Pasadena, CA 91109 USA.</t>
  </si>
  <si>
    <t>Joughin, Ian/AAR-7778-2021; Joughin, Ian R/A-2998-2008</t>
  </si>
  <si>
    <t>Joughin, Ian/0000-0001-6229-679X; Joughin, Ian R/0000-0001-6229-679X</t>
  </si>
  <si>
    <t>10.3189/172756402781817978</t>
  </si>
  <si>
    <t>WOS:000177565100030</t>
  </si>
  <si>
    <t>Schmeltz, M; Rignot, E; MacAyeal, D</t>
  </si>
  <si>
    <t>Tidal flexure along ice-sheet margins: comparison of InSAR with an elastic-plate model</t>
  </si>
  <si>
    <t>HINGE-LINE MIGRATION; RADAR INTERFEROMETRY; PETERMANN-GLETSCHER; GREENLAND; ANTARCTICA; GLACIER; MOTION; STREAM</t>
  </si>
  <si>
    <t>We compare interferometric synthetic aperture radar (InSAR) observations of tidal flexure on Antarctic and Greenland glaciers with a finite-element model simulation of tidal flexure oil all elastic Plate of rice. The results show that the elastic-plate model is able to reproduce with good fidelity the pattern of tidal flexure observed with InSAR. In the case of David Glacier, Antarctica, the model provides independent confirmation of its grounding-line position and usual pattern of tidal flexure. A detailed analysis of temporal changes in tidal flexing on Petermann Gletscher, Greenland, and Pule Island Glacier, West Antarctica.. however, reveals that Young's elastic Modulus of ice, E. employed in the simulations to match observations, needs to vary between 0.8 and 3.5 GPa. This time dependence of E is attributed to visco-plastic effects, not to a migration of the grounding line with tide, or measurement errors.</t>
  </si>
  <si>
    <t>CALTECH, Jet Prop Lab, Pasadena, CA 91109 USA; Univ Chicago, Dept Geophys Sci, Chicago, IL 60637 USA</t>
  </si>
  <si>
    <t>National Aeronautics &amp; Space Administration (NASA); NASA Jet Propulsion Laboratory (JPL); California Institute of Technology; University of Chicago</t>
  </si>
  <si>
    <t>CALTECH, Jet Prop Lab, 4800 Oak Grove Dr, Pasadena, CA 91109 USA.</t>
  </si>
  <si>
    <t>Rignot, Eric/0000-0002-3366-0481; MacAyeal, Douglas/0000-0003-0647-6176</t>
  </si>
  <si>
    <t>10.3189/172756402781818049</t>
  </si>
  <si>
    <t>WOS:000177565100031</t>
  </si>
  <si>
    <t>Rignot, E</t>
  </si>
  <si>
    <t>Mass balance of East Antarctic glaciers and ice shelves from satellite data</t>
  </si>
  <si>
    <t>GREENLAND; SHEET; SYSTEM; FLOW; DISCHARGE</t>
  </si>
  <si>
    <t>The velocity and mass discharge of nine major East Antarctic glaciers not draining, into the Ross or Filchner-Ronne Ice Shelves is investigated using interferometric synthetic aperture radar (InSAR) data from the European Remote-sensing Satellite I and 2 (ERS-1/2) and RADARSAT-1. The glaciers are: David, Ninnis, Mertz, Totten, Scott, Denman, Lambert, Shirase and Stancomb-Wills. InSAR IS used to locate then grounding line with precision. Ice velocity is measured with either InSAR or a speckle-tracking technique. Ice thickness is deduced from prior-determined ice-shelf elevation assuming hydrostatic equilibrium Mass fluxes are calculated both at the grounding line and at a flux gate located downstream. The grounding-line flux is compared to a mass input calculated from snow accumulation to deduce the glacier mass balance. The calculation is repeated at the flux gate downstream of the grounding line to estimate the average bottom melt rate of the ice Shelf under steady-state conditions. The main results arc: (1) Grounding lines are found several tells of km upstream of prior-identified positions, not because of a recent ice-sheet retreat but because of the inadequacy of prior-determined grounding-line positions. (2) No gross imbalance between outflow and inflow is detected oil the little glaciers being investigated gated, with an uncertainty of 10-20%. Prior-determined, largely positive mass imbalances were due to all incorrect localization of the grounding line. (3) High rates of bot torn melting (24 +/- 7 in Ice a(-1)) are inferred near grounding zones, where ice reaches the deepest draft. A few glaciers exhibit lower bottom inch, rates (4 +/- 7 in ice a(-1)). Bottom melting, however, appears to be a major source of mass loss oil Antarctic ice shelves.</t>
  </si>
  <si>
    <t>National Aeronautics &amp; Space Administration (NASA); NASA Jet Propulsion Laboratory (JPL); California Institute of Technology</t>
  </si>
  <si>
    <t>10.3189/172756402781817419</t>
  </si>
  <si>
    <t>WOS:000177565100033</t>
  </si>
  <si>
    <t>Young, NW; Hyland, G</t>
  </si>
  <si>
    <t>Velocity and strain rates derived from InSAR analysis over the Amery Ice Shelf, East Antarctica</t>
  </si>
  <si>
    <t>SYSTEM</t>
  </si>
  <si>
    <t>We use displacements derived from matching complex synthetic aperture radar data using maximum coherence to generate a dense network of velocity estimates over the Amery Ice Shelf. From these velocities we generate the horizontal strain-rate components and resolve them with respect to the local flow direction. We present the spatial distributions of velocity and transverse shear strain rate and use them to investigate features of the flow regime for the shelf. Front the southern end of the shelf, velocity decreases front a high of about 800 m a(-1) to around 300 m a(-1) and then increases to a maximum of about 1350 m a(-1) at the centre of the front. Strain rates vary systematically across and along the shelf. The pattern of the transverse shear strain rate clearly identifies the shear margins, where values exceed 0.1 a(-1) in the southern section of the shelf. The pattern also shows longitudinal bands of enhanced shear strain rate containing ice with a strong preferred crystal fabric that was advected front shear margins upstream. In the northern section of the shelf, significant values of longitudinal and traverse stresses lead to enhanced shear deformation through their effect oil the octahedral shear stress term.</t>
  </si>
  <si>
    <t>Antarctic CRC, Hobart, Tas 7001, Australia; Australian Antarctic Div, Hobart, Tas 7001, Australia</t>
  </si>
  <si>
    <t>Young, NW (corresponding author), Antarctic CRC, Box 252-80, Hobart, Tas 7001, Australia.</t>
  </si>
  <si>
    <t>Young, Neal/0000-0001-9729-3273</t>
  </si>
  <si>
    <t>10.3189/172756402781817842</t>
  </si>
  <si>
    <t>WOS:000177565100034</t>
  </si>
  <si>
    <t>Fricker, HA; Young, NW; Allison, I; Coleman, R</t>
  </si>
  <si>
    <t>Iceberg calving from the Amery Ice Shelf, East Antarctica</t>
  </si>
  <si>
    <t>GREEN ICEBERGS; MASS-BALANCE; INTERFEROMETRY; SYSTEM; DYNAMICS; IMAGERY</t>
  </si>
  <si>
    <t>We investigate the iceberg-calving cycle of the Amery Ice Shelf (AIS), East Antarctica, using evidence acquired between 1936 and 2000. The most recent major iceberg-calving event occurred between late 1963 and early 1964, when a large berg totalling about 10 000 km(2) in area broke From the ice front. The rate of forward advance of the ice front is presently 1300-1400 m a(-1). At this rate of advance, based on the present icefront position front recent RADARSAT imagery, it would take 20-25 years to attain the 1963 (pre-calve) position, suggesting that the AIS calving cycle has a period of approximately 60-70 years. Two longitudinal (parallel-to-flow) rifts, approximately 25 km apart at the AIS front, are observed in satellite imagery acquired over the last 14+ years. These rifts have formed at suture zones the shelf where neighbouring now-bands have separated in association with transverse spreading. The rifts were 15 km (rift A) and 26 km (rift B) in length in September 2000, and will probably become the sides of a large tabular iceberg (23 km x 25 km). A transverse (perpendicular-to-flow) fracture, visible at the upstream end of rift A in 1996, had propagated 6 km towards rift B by September 2000; when it meets rift B the iceberg will calve. A satellite image acquired in 1962 shows an embayment of this size in the AIS front, hence we deduce that this calving pattern also occurred during the last calving cycle, and therefore that the calving behaviour of the AIS apparently follows a regular pattern.</t>
  </si>
  <si>
    <t>Univ Calif San Diego, Scripps Inst Oceanog, Inst Geophys &amp; Planetary Phys, La Jolla, CA 92093 USA; Antarctic CRC, Hobart, Tas 7001, Australia; Australian Antarctic Div, Hobart, Tas 7001, Australia; Univ Tasmania, Antarctic CRC, Hobart, Tas 7001, Australia; Univ Tasmania, Sch Geog &amp; Environm Studies, Hobart, Tas 7001, Australia; CSIRO, Marine Res, Hobart, Tas 7001, Australia</t>
  </si>
  <si>
    <t>University of California System; University of California San Diego; Scripps Institution of Oceanography; Australian Antarctic Division; University of Tasmania; University of Tasmania; Commonwealth Scientific &amp; Industrial Research Organisation (CSIRO)</t>
  </si>
  <si>
    <t>Allison, Ian F/I-4477-2015; Coleman, Richard/H-4425-2012</t>
  </si>
  <si>
    <t>Allison, Ian F/0000-0001-9599-0251; Coleman, Richard/0000-0002-9731-7498; Fricker, Helen Amanda/0000-0002-0921-1432; Young, Neal/0000-0001-9729-3273</t>
  </si>
  <si>
    <t>10.3189/172756402781817581</t>
  </si>
  <si>
    <t>Green Submitted, Green Accepted, Bronze</t>
  </si>
  <si>
    <t>WOS:000177565100036</t>
  </si>
  <si>
    <t>Padman, L; Fricker, HA; Coleman, R; Howard, S; Erofeeva, L</t>
  </si>
  <si>
    <t>A new tide model for the Antarctic ice shelves and seas</t>
  </si>
  <si>
    <t>WEDDELL-SEA; OCEAN TIDES; TOPOGRAPHY; SATELLITE; ALTIMETRY; FILCHNER</t>
  </si>
  <si>
    <t>We describe a new tide model for the seas surrounding Antarctica, including the ocean cavities nucler the floating ice shelves. The model uses data assimilation to improve its fit to available data. Typical peak-to-peak tide ranges on ice shelves are 1-2 m but can exceed 3 m for the Filchner-Ronne and Larsen Ice Shelves in the Weddell Sea. Spring tidal ranges are about twice these values. Model performance is judged relative to the similar to5-10 cut accuracy that is needed to fully utilize ice-shelf height data that will be collected with the Geoscience Laser Altimeter System, scheduled to be launched on the Ice, Cloud and land Elevation Satellite in late 2002. The model does not yet achieve this level of accuracy except very near the few high-quality tidal records that have been assimilated into the model. Some improvement in predictive skill is expected from increased sophistication of model physics, but we also require better definition of ice-shelf grounding lines and more accurate water-column thickness data in shelf seas and under the ice shelves. Long-duration tide measurements (bottom pressure gauge or global positioning system) in critical data-sparse areas, particularly near and on the Filchner-Ronne and Ross Ice Shelves and Pine Island Bay, are required to improve the performance of the data-assimilation model.</t>
  </si>
  <si>
    <t>Earth &amp; Space Res, Seattle, WA 98102 USA; Univ Calif San Diego, Scripps Inst Oceanog, Inst Geophys &amp; Planetary Phys, La Jolla, CA 92093 USA; Univ Tasmania, Antarctic CRC, Hobart, Tas 7001, Australia; Univ Tasmania, Sch Geog &amp; Environm Studies, Hobart, Tas 7001, Australia; CSIRO, Marine Res, Hobart, Tas 7001, Australia; Oregon State Univ, Coll Ocean &amp; Atmospher Sci, Corvallis, OR 97331 USA</t>
  </si>
  <si>
    <t>University of California System; University of California San Diego; Scripps Institution of Oceanography; University of Tasmania; University of Tasmania; Commonwealth Scientific &amp; Industrial Research Organisation (CSIRO); Oregon State University</t>
  </si>
  <si>
    <t>Padman, L (corresponding author), Earth &amp; Space Res, 1910 Fairview Ave E,Suite 102, Seattle, WA 98102 USA.</t>
  </si>
  <si>
    <t>Padman, Laurence/AAH-3808-2021; Coleman, Richard/H-4425-2012</t>
  </si>
  <si>
    <t>Coleman, Richard/0000-0002-9731-7498; Howard, Susan/0000-0002-9183-0178; Fricker, Helen Amanda/0000-0002-0921-1432; Erofeeva, Svetlana/0000-0002-4489-7505; Padman, Laurence/0000-0003-2010-642X</t>
  </si>
  <si>
    <t>10.3189/172756402781817752</t>
  </si>
  <si>
    <t>Green Accepted, Bronze, Green Submitted</t>
  </si>
  <si>
    <t>WOS:000177565100037</t>
  </si>
  <si>
    <t>Zwally, HJ; Beckley, MA; Brenner, AC; Giovinetto, MB</t>
  </si>
  <si>
    <t>Motion of major ice-shelf fronts in Antarctica from slant-range analysis of radar altimeter data, 1978-98</t>
  </si>
  <si>
    <t>MASS-BALANCE</t>
  </si>
  <si>
    <t>Slant-range analysis of radar altimeter data from the Seasat, Geosat and European Remote-sensing Satellite (ERS-1 and -2) databases is used to determine barrier location at particular times, and estimate barrier motion (km a(-1)) for major Antarctic ice shelves. The analysis covers various multi-year intervals from 1978 to 1998, supplemented by barrier location maps produced elsewhere for 1977 and 1986. Barrier motion is estimated as the ratio between mean annual ice-shelf area change for a particular interval, and the length of the discharge periphery. This value is positive if the barrier location progresses seaward, or negative if the barrier location regresses (break-back). Either positive or negative values are lower-limit estimates because the method does not detect relatively small area changes due to calving or surge events. The findings are discussed in the context of the three ice shelves that lie in large embayments (the Filchner-Ronne, Amery and Ross Ice Shelves), and marginal ice shelves characterized by relatively short distances between main segments of grounding line and barrier (those in the Dronning Maud Land sector between 010.1degrees Wand 032.5degrees E, and the West and Shackleton Ice Shelves). The ice shelves included in the study account for approximately three-quarters of the total ice-shelf area of Antarctica, and discharge approximately two-thirds of the total grounded ice area.</t>
  </si>
  <si>
    <t>NASA, Goddard Space Flight Ctr, Greenbelt, MD 20771 USA; NASA, Goddard Space Flight Ctr, Raytheon ITSS, Greenbelt, MD 20771 USA</t>
  </si>
  <si>
    <t>National Aeronautics &amp; Space Administration (NASA); NASA Goddard Space Flight Center; National Aeronautics &amp; Space Administration (NASA); NASA Goddard Space Flight Center</t>
  </si>
  <si>
    <t>NASA, Goddard Space Flight Ctr, Code 971, Greenbelt, MD 20771 USA.</t>
  </si>
  <si>
    <t>10.3189/172756402781817653</t>
  </si>
  <si>
    <t>WOS:000177565100038</t>
  </si>
  <si>
    <t>Jezek, KC</t>
  </si>
  <si>
    <t>RADARSAT-1 Antarctic Mapping Project: change-detection and surface velocity campaign</t>
  </si>
  <si>
    <t>LARSEN ICE SHELF; BREAK-UP; SHEET; LAND</t>
  </si>
  <si>
    <t>The RADARSAT-1 Antarctic Mapping Project (RAMP) is a collaboration between NASA and the Canadian Space Agency to map Antarctica using synthetic aperture radar (SAR). The first Antarctic Mapping Mission (AMM-1) was successfully Completed in October 1997. Data from the acquisition phase of the 1997 campaign have been used to achieve the primary goal of producing the first high-resolution SAR image map of Antarctica. The Modified Antarctic Mapping Mission (MAMM) occurred during the fall of 2000. The acquisition strategy concentrated on collecting highest-resolution RADARSAT-1 data of Antarctica's fast glaciers for change detection and feature-retracking estimates of surface velocity. Additionally, extensive data were acquired for interferometric analysis over the entire viewable region, which extends north of 80.1degrees S latitude. This paper summarizes the goals and strategy behind MAMM. It goes on to discuss ice-sheet margin changes observed on several ice shelves around the continent. Margin changes are documented by comparing AMM-1 and MAMM data with earlier datasets including European Remote-sensing Satellite-l SAR imagery, Landsat imagery, the Antarctic Digital Database (version 1) coastline and Declassified Intelligence Satellite Photography. Analysis reveals a complex pattern of ice-margin advance and retreat without indicating any systematic behavior in ice-sheet extent about the ice-sheet perimeter.</t>
  </si>
  <si>
    <t>Ohio State Univ, Byrd Polar Res Ctr, Columbus, OH 43210 USA; Ohio State Univ, Dept Geol Sci, Columbus, OH 43210 USA</t>
  </si>
  <si>
    <t>University System of Ohio; Ohio State University; University System of Ohio; Ohio State University</t>
  </si>
  <si>
    <t>Ohio State Univ, Byrd Polar Res Ctr, 1090 Carmack Rd, Columbus, OH 43210 USA.</t>
  </si>
  <si>
    <t>10.3189/172756402781818030</t>
  </si>
  <si>
    <t>WOS:000177565100039</t>
  </si>
  <si>
    <t>Gray, L; Short, N; Bindschadler, R; Joughin, I; Padman, L; Vornberger, P; Khananian, A</t>
  </si>
  <si>
    <t>RADARSAT interferometry for Antarctic grounding-zone mapping</t>
  </si>
  <si>
    <t>ICE STREAM-B; SHEET; MOTION; VELOCITY; SHELF; TRIBUTARIES; FILCHNER</t>
  </si>
  <si>
    <t>Satellite radar interferometry, (SRI) is used to provide new information on grounding zones in areas of the eastern Ross Ice Shelf and the Filchner Ice Shelf, Antarctica. At the times of the RADARSAT SRI passes, separated by 24 days, a tidal model predicts a change lit vertical displacement of the freely floating ice of &gt;1 m in both areas. The change in vertical position occurs over a 5-10 km flexure zone adjacent to the grounding line and Would lead to a relatively high interferometric phase fringe rate. This was observed in sonic areas, and suitable imagery has been used to map the grounding-zone position to an estimated accuracy of 1-2 km. Results for the ice-plain area upstream of the Crary Ice Rise are consistent with the tidal model and improve the previous grounding-line estimates based on field surveys and Systeme Probatoire pour l'Observation de la Terre (SPOT) data. The results Support the suggestion of increased ice grounding in this area, and show that a sub-ice-shelf water channel around the southern end of the Crary Ice Rise is unlikely. Results for the Filchner Ice Shelf also show that existing maps of the grounding zone can he refined. In particular, we identify a large ice rise close to the month of the Bailey Ice Stream.</t>
  </si>
  <si>
    <t>Canada Ctr Remote Sensing, Ottawa, ON K1A OY7, Canada; Intermap Technol, Ottawa, ON K2E 1A2, Canada; NASA, Goddard Space Flight Ctr, Greenbelt, MD 20771 USA; CALTECH, Jet Prop Lab, Pasadena, CA 91109 USA; Earth &amp; Space Res, Seattle, WA 98102 USA</t>
  </si>
  <si>
    <t>Natural Resources Canada; Strategic Policy &amp; Results Sector - Natural Resources Canada; Canada Centre for Mapping &amp; Earth Observation (CCMEO); National Aeronautics &amp; Space Administration (NASA); NASA Goddard Space Flight Center; National Aeronautics &amp; Space Administration (NASA); NASA Jet Propulsion Laboratory (JPL); California Institute of Technology</t>
  </si>
  <si>
    <t>Canada Ctr Remote Sensing, Ottawa, ON K1A OY7, Canada.</t>
  </si>
  <si>
    <t>Padman, Laurence/AAH-3808-2021; Joughin, Ian/AAR-7778-2021; Joughin, Ian R/A-2998-2008</t>
  </si>
  <si>
    <t>Joughin, Ian/0000-0001-6229-679X; Joughin, Ian R/0000-0001-6229-679X; Short, Naomi/0000-0002-4677-9801; Padman, Laurence/0000-0003-2010-642X</t>
  </si>
  <si>
    <t>10.3189/172756402781817879</t>
  </si>
  <si>
    <t>WOS:000177565100040</t>
  </si>
  <si>
    <t>Jun, L; Zwally, HJ</t>
  </si>
  <si>
    <t>Modeled seasonal variations of firn density induced by steady-state surface air-temperature cycle</t>
  </si>
  <si>
    <t>Seasonal variations of firn density in ice-sheet firn layers have been attributed to variations in deposition processes or other processes within the upper firn. A recent high-resolution (mm-scale) density profile, measured along a 181 in core from Antarctica, showed small-scale density variations with a clear seasonal cycle that apparently was not related to seasonal variations in deposition or known near-surface processes (Gerland and others, 1999). A recent model of surface elevation changes (Zwally and Li, in press) produced a seasonal variation in firn densification, and explained the seasonal surface elevation changes observed by satellite radar altimeters. In this study, we apply our one-dimensional time-dependent numerical model of firn densification that includes a temperature-dependent formulation of firn densification based on laboratory measurements of grain growth. The model is driven by a steady-state seasonal surface temperature and a constant accumulation rate appropriate for the measured Antarctic ice core. The modeled seasonal variations in firn density show that the layers of snow deposited during spring to mid-summer that have the highest temperature history compress to the highest density, and the layers deposited during later summer to autumn that have the lowest temperature history compress to the lowest density. The initial amplitude of the seasonal difference of about 0.13 reduces to about 0.09 in 5 years and asymptotically to 0.0 at greater depth, which is consistent with the core measurements.</t>
  </si>
  <si>
    <t>NASA, Goddard Space Flight Ctr, Raytheon ITSS, Greenbelt, MD 20771 USA; NASA, Goddard Space Flight Ctr, Oceans &amp; Ice Branch, Greenbelt, MD 20771 USA</t>
  </si>
  <si>
    <t>Jun, L (corresponding author), NASA, Goddard Space Flight Ctr, Raytheon ITSS, Code 971, Greenbelt, MD 20771 USA.</t>
  </si>
  <si>
    <t>10.3189/172756402781817707</t>
  </si>
  <si>
    <t>WOS:000177565100044</t>
  </si>
  <si>
    <t>Parkinson, CL</t>
  </si>
  <si>
    <t>Trends in the length of the Southern Ocean sea-ice season, 1979-99</t>
  </si>
  <si>
    <t>ANTARCTIC PENINSULA; TEMPERATURE; PATTERNS</t>
  </si>
  <si>
    <t>Satellite passive-microwave data have been used to calculate and map the length of the sea-ice season throughout the Southern Ocean for each year 1979-99. Mapping the slopes of the lines of linear least-squares fit through the 21 years of resulting season-length data reveals a detailed pattern of trends in the length of the sea-ice season around the Antarctic continent. Specifically, most of the Ross Sea ice cover has, on average over the 21 years, undergone a lengthening of the sea-ice season, whereas most of the Amundsen Sea ice cover and almost the entire Bellingshausen Sea ice cover have undergone a shortening of the sea-ice season. Results for the Weddell Sea are mixed, with the northwestern portion of the sea having experienced a shortening of the sca-ice season but a substantial area in the south-central portion of the sea having experienced a lengthening of the ice season. Overall, the area of the Southern Ocean experiencing a lengthening ofthe sea-ice season by at least 1 day per year over the period 1979-99 is 5.6x10(6) km(2), whereas the area experiencing a shortening of the sea ice season by at least 1 day per year is 46% less than that, at 3.0 x 10(6) km(2).</t>
  </si>
  <si>
    <t>Parkinson, CL (corresponding author), NASA, Goddard Space Flight Ctr, Oceans &amp; Ice Branch, Code 971, Greenbelt, MD 20771 USA.</t>
  </si>
  <si>
    <t>10.3189/172756402781817482</t>
  </si>
  <si>
    <t>WOS:000177565100065</t>
  </si>
  <si>
    <t>Koerner, RM; Fisher, DA</t>
  </si>
  <si>
    <t>Wolff, EW</t>
  </si>
  <si>
    <t>Ice-core evidence for widespread Arctic glacier retreat in the Last Interglacial and the early Holocene</t>
  </si>
  <si>
    <t>ANNALS OF GLACIOLOGY, VOL 35</t>
  </si>
  <si>
    <t>International Symposium on Ice Cores and Climate</t>
  </si>
  <si>
    <t>AUG 19-23, 2001</t>
  </si>
  <si>
    <t>KANGERLUSSUAQ, GREENLAND</t>
  </si>
  <si>
    <t>ISOTOPE CLIMATIC RECORD; GREENLAND ICE; ELLESMERE-ISLAND; O-18 RECORD; DELTA O-18; SHEET; CAP; HISTORY; PROJECT; RECONSTRUCTIONS</t>
  </si>
  <si>
    <t>An early study of the various components of the Greenland, Antarctic and Canadian Arctic ice-cap cores (Koerner, 1989) suggested that during the last interglacial period, the Greenland ice sheet suffered massive retreat and Canadian ice caps melted completely. Since then, modeling has helped support this interpretation (Cuffey and Marshall, 2000). Ice-core records of stable isotopes, melt layering and chemistry from the same Canadian ice cores, and others from the Russian Arctic islands, Svalbard and Greenland are presented as evidence for a more modest, but still substantial, retreat in the early Holocene. The sections representing the first half of the Holocene in many cores have less negative delta(18)O values (delta values) and a higher percentage of melt layers than recently deposited ice, suggesting that temperatures were 1.3-3.5degreesC warmer than today. Given that glacier balances are slightly negative today, they must have been substantially more negative during the early-Holocene thermal maximum, leading to retreat of the circumpolar ice caps. Evidence is presented to suggest that, with the exception of Academii Nauk ice cap, the ice in the Russian Arctic islands and Svalbard must have almost disappeared. In the Canadian Arctic, the larger Canadian ice caps retreated but survived. The cooling trend that followed this thermal maximum promoted re-expansion and new growth of most of the ice caps in the Russian Arctic islands and Svalbard.</t>
  </si>
  <si>
    <t>Geol Survey Canada, Ottawa, ON K1A 0E8, Canada</t>
  </si>
  <si>
    <t>Natural Resources Canada; Lands &amp; Minerals Sector - Natural Resources Canada; Geological Survey of Canada</t>
  </si>
  <si>
    <t>Geol Survey Canada, 601 Booth St, Ottawa, ON K1A 0E8, Canada.</t>
  </si>
  <si>
    <t>koerner@nrcan.gc.ca</t>
  </si>
  <si>
    <t>0-946417-30-X</t>
  </si>
  <si>
    <t>10.3189/172756402781817338</t>
  </si>
  <si>
    <t>BW44W</t>
  </si>
  <si>
    <t>WOS:000182023600004</t>
  </si>
  <si>
    <t>Fritzsche, D; Wilhelms, F; Savatyugin, LM; Pinglot, JF; Meyer, H; Hubberten, HW; Miller, H</t>
  </si>
  <si>
    <t>A new deep ice core from Akademii Nauk ice cap, Severnaya Zemlya, Eurasian Arctic: first results</t>
  </si>
  <si>
    <t>The paper presents first results from the upper 54 m of a 723.91 in ice core drilled on Akademii Nauk ice cap, Severnaya Zemlya, Eurasian Arctic, in 1999-2001, supplemented by data from shallow ice cores. The glaciers peculiarity is the Infiltration and refreezing of meltwater, which changes the original isotopic and chemical signals. Therefore, stratigraphical observations in these ice cores are more difficult than in those from central Greenland or Antarctica. However, the 1963 maximum of artificial radioactivity from atmospheric nuclear tests is clearly detectable in the deep ice core, and the delta(18)O profile of a 12.82 m shallow core shows annual variations. Consequently, at least for the upper part of the main core, an almost seasonal time resolution of palaeoclimate record could be expected. The Chernobyl layer is detected by increased Cs-137 activity at depths of 11.81-12.51 in related to the AD 2000 surf ace. The resulting mean annual net mass balance is 53 +/- 2 g cm(-1). Data froin dielectric profiling oftlic rnain core show considerable peaks in conductivity; one of them is interpreted as a volcano event. According to the resulting chronology, this part of the core represents approximately the last 100 years.</t>
  </si>
  <si>
    <t>Fdn Polar &amp; Marine Res, Alfred Wegener Inst Polar &amp; Marine Res, D-14473 Potsdam, Germany; Fdn Polar &amp; Marine Res, Alfred Wegener Inst Polar &amp; Marine Res, D-27515 Bremerhaven, Germany; Arctic &amp; Antarctic Res Inst, State Res Ctr, St Petersburg 199397, Russia; Lab Glaciol &amp; Geophys Environm, CNRS, F-38402 St Martin Dheres, France</t>
  </si>
  <si>
    <t>Helmholtz Association; Alfred Wegener Institute, Helmholtz Centre for Polar &amp; Marine Research; Helmholtz Association; Alfred Wegener Institute, Helmholtz Centre for Polar &amp; Marine Research; Arctic &amp; Antarctic Research Institute; Centre National de la Recherche Scientifique (CNRS)</t>
  </si>
  <si>
    <t>Fdn Polar &amp; Marine Res, Alfred Wegener Inst Polar &amp; Marine Res, POB 600149, D-14473 Potsdam, Germany.</t>
  </si>
  <si>
    <t>dfritsch@awi-potsdam.de</t>
  </si>
  <si>
    <t>Wilhelms, Frank/KEI-8426-2024; Meyer, Hanno/AAQ-4260-2021</t>
  </si>
  <si>
    <t>Wilhelms, Frank/0000-0001-7688-3135; Meyer, Hanno/0000-0003-4129-4706; Miller, Heinrich/0000-0003-1015-2828; Fritzsche, Diedrich/0000-0002-0018-8993</t>
  </si>
  <si>
    <t>10.3189/172756402781816645</t>
  </si>
  <si>
    <t>WOS:000182023600005</t>
  </si>
  <si>
    <t>Mulvaney, R; Oerter, H; Peel, DA; Graf, W; Arrowsmith, C; Pasteur, EC; Knight, B; Littot, GC; Miners, WD</t>
  </si>
  <si>
    <t>1000 year ice-core records from Berkner Island, Antarctica</t>
  </si>
  <si>
    <t>FIRN</t>
  </si>
  <si>
    <t>Two medium-depth ice cores were retrieved from Berkner Island by a joint project between the Alfred-Wegener-Institut and the British Antarctic Survey in the 1994/95 field season. A 151 in deep core from the northern dome (Reinwarthhohe) of Berkner Island spans 700 years, while a 181 in deep core from the southern dome (Thyssenhohe) spans approximately 1200 years. Both cores display clear seasonal cycles in electrical conductivity measurements, allowing dating by annual-layer counting and the calculation of accumulation profiles. Stable-isotope measurements (both delta(18)O and deltaD), together with the accumulation data, allow us to estimate changes in climate for most of the past millennium: the data show multi-decadal variability around a generally stable long-term mean. In addition, a full suite of major chemistry measurements is available to define the history of aerosol deposition at these sites: again, there is little evidence that the chemistry of the sites has changed over the past six centuries. Finally, we suggest that the southern dome, with an ice thickness of 950 in, is an ideal site from which to gain a climate history of the late stages of the last glacial and the deglaciation for comparison with the records from the deep Antarctic ice cores, and with other intermediate-depth cores such as Taylor Dome and Siple Dome.</t>
  </si>
  <si>
    <t>British Antarctic Survey, NERC, Cambridge CB3 0ET, England; Alfred Wegener Inst Polar &amp; Marine Res, D-27515 Bremerhaven, Germany; GSF Forschungszentrum Umwelt &amp; Gesundheit, D-85758 Neuherberg, Germany; NERC, Isotope Geosci Lab, Nottingham NG12 5GG, England</t>
  </si>
  <si>
    <t>UK Research &amp; Innovation (UKRI); Natural Environment Research Council (NERC); NERC British Antarctic Survey; Helmholtz Association; Alfred Wegener Institute, Helmholtz Centre for Polar &amp; Marine Research; Helmholtz Association; Helmholtz-Center Munich - German Research Center for Environmental Health; UK Research &amp; Innovation (UKRI); Natural Environment Research Council (NERC); NERC British Geological Survey</t>
  </si>
  <si>
    <t>r.mulvaney@bas.ac.uk</t>
  </si>
  <si>
    <t>Mulvaney, Robert/K-3929-2012</t>
  </si>
  <si>
    <t>Mulvaney, Robert/0000-0002-5372-8148; Arrowsmith, Carol/0000-0003-3849-5179</t>
  </si>
  <si>
    <t>Natural Environment Research Council [bas010001] Funding Source: researchfish; NERC [bas010001] Funding Source: UKRI</t>
  </si>
  <si>
    <t>10.3189/172756402781817176</t>
  </si>
  <si>
    <t>WOS:000182023600008</t>
  </si>
  <si>
    <t>Smith, BT; Van Ommen, TD; Morgan, VI</t>
  </si>
  <si>
    <t>Distribution of oxygen isotope ratios and snow accumulation rates in Wilhelm II Land, East Antarctica</t>
  </si>
  <si>
    <t>AREAL DISTRIBUTION</t>
  </si>
  <si>
    <t>Records of recent oxygen isotope ratios (6180) and accumulation rates are presented for the region of Wilhelm II Land, East Antarctica, between 78degrees and 93degrees E and from the coast to 2100 in elevation. These records were derived from analysis of 21 shallow firn cores collected during the 1997/98 and 1998/99 Australian National Antarctic Research Expeditions summer operations. The accumulation rates were determined using comparisons between detailed analyses of density, delta(18)O, hydrogen peroxide (H2O2) levels and electrical conductivity. The 618 0 distribution follows an approximately linear relationship with snow surface elevation, with values from -22parts per thousand near the coast to -32parts per thousand towards 2000 in elevation. Accumulation-rate distribution does not display this simple relationship with topography. South of the West Ice Shelf the contours run parallel to lines of latitude (oblique to the coast and topography), with 400 kg m(-2) a(-1) towards the coast and 2000 in elevation, and a lower zone of 300 kg m(-2) a(-1) along an axis of 68.4degrees S. This pattern of accumulation is also evident along the Mirny-Vostok traverse route. Southwest of the West Ice Shelf the rate of accumulation drops gradually from 300 to 200 kg m(-2) a(-1) towards Lambert Glacier basin. Surface-snow redistribution and variations in accumulation rate cause variability in the clarity of core records, but several sites show sufficient stratigraphic preservation to suggest potential for extraction of extended palaeoenvironmental records through further drilling.</t>
  </si>
  <si>
    <t>Antartic CRC &amp; Australian Antarctic Div, Hobart, Tas 7001, Australia</t>
  </si>
  <si>
    <t>Antartic CRC &amp; Australian Antarctic Div, Box 252-80, Hobart, Tas 7001, Australia.</t>
  </si>
  <si>
    <t>barbara.smith@utas.edu.au</t>
  </si>
  <si>
    <t>van Ommen, Tas/B-5020-2012</t>
  </si>
  <si>
    <t>van Ommen, Tas/0000-0002-2463-1718</t>
  </si>
  <si>
    <t>10.3189/172756402781816898</t>
  </si>
  <si>
    <t>WOS:000182023600019</t>
  </si>
  <si>
    <t>Waddington, ED; Steig, EJ; Neumann, TA</t>
  </si>
  <si>
    <t>Using characteristic times to assess whether stable isotopes in polar snow can be reversibly deposited</t>
  </si>
  <si>
    <t>ICE-CORE; DRY DEPOSITION; SOUTH-POLE; FIRN; GREENLAND; ACCUMULATION; TEMPERATURE; DIFFUSION; DEUTERIUM</t>
  </si>
  <si>
    <t>Stable isotopes in ice cores are used as a proxy for the temperature at the time of snow formation. Where net accumulation rate is relatively high, snow is buried quickly and initial isotopic values are preserved. However, in low-accumulation areas, snow is exposed to lengthy vapor exchange with the atmosphere. The original isotopic signature of this snow may be modified by equilibration with atmospheric water vapor in the boundary layer over the snow surface in summer. We estimate the characteristic times for equilibration by using an electrical resistor network analogue. Warm, windy summers and low accumulation rate enhance equilibration. Although equilibration of the complete snowpack is unlikely, significant post-depositional change may occur in some Antarctic environments.</t>
  </si>
  <si>
    <t>Univ Washington, Dept Earth &amp; Space Sci, Seattle, WA 98195 USA</t>
  </si>
  <si>
    <t>Univ Washington, Dept Earth &amp; Space Sci, Box 351310, Seattle, WA 98195 USA.</t>
  </si>
  <si>
    <t>edw@ess.washington.edu</t>
  </si>
  <si>
    <t>Neumann, Thomas/JLL-4672-2023; Neumann, Thomas/D-5264-2012; /G-9088-2015</t>
  </si>
  <si>
    <t>/0000-0002-8191-5549</t>
  </si>
  <si>
    <t>10.3189/172756402781817004</t>
  </si>
  <si>
    <t>WOS:000182023600021</t>
  </si>
  <si>
    <t>Ekaykin, AA; Lipenkov, VY; Barkov, NI; Petit, JR; Masson-Delmotte, V</t>
  </si>
  <si>
    <t>Spatial and temporal variability in isotope composition of recent snow in the vicinity of Vostok station, Antarctica: implications for ice-core record interpretation</t>
  </si>
  <si>
    <t>SOUTH-POLE; ACCUMULATION</t>
  </si>
  <si>
    <t>Continuous, detailed isotope (deltaD and delta(18)O) profiles were obtained from eight snow pits dug in the vicinity of Vostok station, Antarctica, during the period 1984-2000. In addition, snow samples taken along the 1 km long accumulation-stake profile were measured to determine spatial variability in isotope composition of recent snow. The stacked deltaD time series spanning the last 55 years shows only weak correlation with the mean annual air temperature recorded at Vostok station. Significant oscillations of both snow accumulation and snow isotope composition with the periods 2.5, 5, 20 and, possibly, similar to10(2) years observed at single points are interpreted in terms of drift of snow-accumulation waves of various scales on the surface of the ice sheet.</t>
  </si>
  <si>
    <t>Arctic &amp; Antarctic Res Inst, St Petersburg 199397, Russia; St Petersburg State Univ, St Petersburg 199034, Russia; Univ Grenoble 1, F-38041 Grenoble 9, France; CNRS, Lab Glaciol &amp; Geophys Environm, F-38402 St Martin Dheres, France; CEA Saclay, Lab Sci Climat &amp; Environm, F-91191 Gif Sur Yvette, France</t>
  </si>
  <si>
    <t>Arctic &amp; Antarctic Research Institute; Saint Petersburg State University; Communaute Universite Grenoble Alpes; Universite Grenoble Alpes (UGA); Centre National de la Recherche Scientifique (CNRS); Universite Paris Saclay; CEA; Centre National de la Recherche Scientifique (CNRS)</t>
  </si>
  <si>
    <t>Arctic &amp; Antarctic Res Inst, St Petersburg 199397, Russia.</t>
  </si>
  <si>
    <t>ekaykin@aari.nw.ru</t>
  </si>
  <si>
    <t>Ekaykin, Alexey A./K-9894-2015; Masson-Delmotte, Valerie L/G-1995-2011; Lipenkov, Vladimir/Q-8262-2016</t>
  </si>
  <si>
    <t>Masson-Delmotte, Valerie L/0000-0001-8296-381X; Lipenkov, Vladimir/0000-0003-4221-5440</t>
  </si>
  <si>
    <t>10.3189/172756402781816726</t>
  </si>
  <si>
    <t>WOS:000182023600031</t>
  </si>
  <si>
    <t>Proposito, M; Becagli, S; Castellano, E; Flora, O; Genoni, L; Gragnani, R; Stenni, B; Traversi, R; Udisti, R; Frezzotti, M</t>
  </si>
  <si>
    <t>Chemical and isotopic snow variability along the 1998 ITASE traverse from Terra Nova Bay to Dome C, East Antarctica</t>
  </si>
  <si>
    <t>NORTHERN VICTORIA-LAND; MARINE BOUNDARY-LAYER; SEA-SALT SULFATE; METHANESULFONIC-ACID; SPATIAL VARIABILITY; FIRN LAYERS; SOUTH-POLE; ICE; CHEMISTRY; ACCUMULATION</t>
  </si>
  <si>
    <t>In the framework of the PNRA-ITASE (Programma Nazionale di Ricerche in Antartide-International Trans-Antarctic Scientific Expedition) project, during the field season 1998/99, surface snow (1 m cores and pits) and shallow firn cores (10-50 m) were collected along a traverse from Terra Nova Bay (northern Victoria Land) to Dome C (East Antarctic ice sheet). Results of chemical, tritium and stable-isotope composition are presented here for the 1 m cores, some snow pits and the first 2 m of some shallow firn cores. The delta(18)O values show a regular trend with altitude, and the regression line between delta(18)O and surface temperature is delta(18)O = 0.99T (degreesC) - 0.67. Primary aerosol components such as Na+, Cl-, Ca2+, Mg2+ and K+ show high concentrations decreasing with increasing altitude in the first 250-350 km from the coast. At greater distances, concentrations of these species remain more constant. NO3- concentration shows an irregular profile with a progressive decreasing trend as altitude increases. Non-sea-salt (nss) SO42- concentration decreases up to about 250 km from the coast, increases 250-770 km from the coast and remains relatively constant in the most remote stations. Methanesulphonate (MSA) concentration shows high variability. The MSA/nssSO(4)(2-) ratio exhibits a decreasing trend 250-550 km from the coast. With increasing distance, the ratio shows moderate oscillations. nssCl(-) concentration shows a progressive increase as distance from the coast increases, in agreement with the increasing influence of HCl on the Cl- budget of the inland Antarctic atmosphere. Post-depositional re-emissions of Cl- and NO3- were found at stations characterized at the surface by long-term accumulation hiatus (wind crusts). The chemical-species distribution is consistent with the presence in the studied area of local and long-range transport processes, post-depositional effects and snow-accumulation variations observed along the traverse.</t>
  </si>
  <si>
    <t>Museo Nazl Antartide, I-53100 Siena, Italy; Univ Florence, Dept Chem, I-50121 Florence, Italy; Univ Trieste, Dept Geol Environm &amp; Marine Sci, I-34127 Trieste, Italy; CR Casaccia, ENEA, I-00100 Rome, Italy</t>
  </si>
  <si>
    <t>University of Florence; University of Trieste; Italian National Agency New Technical Energy &amp; Sustainable Economics Development</t>
  </si>
  <si>
    <t>Museo Nazl Antartide, Strada Laterino 8, I-53100 Siena, Italy.</t>
  </si>
  <si>
    <t>marco.proposzto@casaccia.enea.it</t>
  </si>
  <si>
    <t>FREZZOTTI, Massimo/AAK-7275-2020; Becagli, Silvia/GNW-2665-2022; Udisti, Roberto/M-7966-2015; Traversi, Rita/M-7586-2015</t>
  </si>
  <si>
    <t>FREZZOTTI, Massimo/0000-0002-2461-2883; Udisti, Roberto/0000-0003-4440-8238; Proposito, Marco/0000-0002-5977-3003; Traversi, Rita/0000-0002-9790-2195; Stenni, Barbara/0000-0003-4950-3664; Becagli, Silvia/0000-0003-3633-4849</t>
  </si>
  <si>
    <t>10.3189/172756402781817167</t>
  </si>
  <si>
    <t>WOS:000182023600032</t>
  </si>
  <si>
    <t>Graf, W; Oerter, H; Reinwarth, O; Stichler, W; Wilhelms, F; Miller, H; Mulvaney, R</t>
  </si>
  <si>
    <t>Stable-isotope records from Dronning Maud Land, Antarctica</t>
  </si>
  <si>
    <t>3 ICE CORES; PAST 2 KYR; ACCUMULATION</t>
  </si>
  <si>
    <t>The European Project for Ice Coring in Antarctica (EPICA) includes a comprehensive pre-site survey on the inland ice plateau of Dronning Maud Land. This paper focuses on the investigation of the O-18 content of shallow firn and ice cores. These cores were dated by profiles derived from dielectric-profiling and continuous flow analysis measurements. The individual records were stacked in order to obtain composite chronologies of O-18 contents and accumulation rates with enhanced signal-to-noise variance ratios. These chronologies document variations in the last 200 and 1000 years. The O-18 contents and accumulation rates decreased in the 19th century and increased during the 20th century. Using the empirical relationships between stable isotopes, accumulation rates and the 10 in firn temperature, the variation of both parameters can be explained by the same temperature history. But other causes for these variations, such as the build-up of the snow cover, cannot be excluded. A marked feature of the 1000 year chronology occurs during the period AD 1180-1530 when the O-18 contents remains below the long-term mean. Cross-correlation analyses between five cores from the Weddell Sea region and Dronning Maud Land show that O-18 records can in some periods be positively correlated and in others negatively correlated, indicating a complex climatic history in time and space.</t>
  </si>
  <si>
    <t>GSF Forschungszentrum Umwelt &amp; Gesundheit, D-85758 Neuherberg, Germany; Alfred Wegener Inst Polar &amp; Marine Res, D-27515 Bremerhaven, Germany; Bayer Akad Wissensch Kommiss Glaziol, D-80539 Munich, Germany; British Antarctic Survey, Nat Environm Res Council, Cambridge CB3 0ET, England</t>
  </si>
  <si>
    <t>Helmholtz Association; Helmholtz-Center Munich - German Research Center for Environmental Health; Helmholtz Association; Alfred Wegener Institute, Helmholtz Centre for Polar &amp; Marine Research; UK Research &amp; Innovation (UKRI); Natural Environment Research Council (NERC); NERC British Antarctic Survey</t>
  </si>
  <si>
    <t>GSF Forschungszentrum Umwelt &amp; Gesundheit, Postfach 1129, D-85758 Neuherberg, Germany.</t>
  </si>
  <si>
    <t>wolfgang.graf@gsf.de</t>
  </si>
  <si>
    <t>Wilhelms, Frank/KEI-8426-2024; Mulvaney, Robert/K-3929-2012</t>
  </si>
  <si>
    <t>Wilhelms, Frank/0000-0001-7688-3135; Mulvaney, Robert/0000-0002-5372-8148; Miller, Heinrich/0000-0003-1015-2828</t>
  </si>
  <si>
    <t>NERC [bas010001] Funding Source: UKRI; Natural Environment Research Council [bas010001] Funding Source: researchfish</t>
  </si>
  <si>
    <t>10.3189/172756402781816492</t>
  </si>
  <si>
    <t>WOS:000182023600033</t>
  </si>
  <si>
    <t>Stauffer, B; Flückiger, J; Monnin, E; Schwander, M; Barnola, JM; Chappellaz, J</t>
  </si>
  <si>
    <t>Atmospheric CO2, CH4 and N2O records over the past 60,000 years based on the comparison of different polar ice cores</t>
  </si>
  <si>
    <t>LAST GLACIAL PERIOD; SCALE CLIMATE-CHANGE; GREENLAND ICE; METHANE CONCENTRATION; ANTARCTIC ICE; TAYLOR DOME; HOLOCENE; AIR; GASES; GRADIENT</t>
  </si>
  <si>
    <t>Analyses of air extracted from polar ice cores are the most straightforward method of reconstructing the atmospheric concentrations of greenhouse gases and their variations for past climatic epochs. These measurements show that the concentration of the three most important greenhouse gases (other than water vapour) CO2, CH4 and N2O have steadily increased during the past 250 years due to anthropogenic activities (Prather and others, 2001; Prentice and others, 2001). Ice-core results also provided the first evidence of a substantial increase in the concentration of the three gases during the transition from the last glacial epoch to the Holocene (Raynaud and others, 1993). However, results from different cores are not always in agreement concerning details and small, short-term variations. The composition of the air enclosed in bubbles can be slightly changed by fractionation during the enclosure process, by chemical reactions and/or biological activity in the ice and by fractionation during the air extraction. We compile here several records with short-term variations or anomalies and discuss possible causes, taking into account improved analytical techniques and new results.</t>
  </si>
  <si>
    <t>Univ Bern, Inst Phys, Sidlerstr 5, CH-3012 Bern, Switzerland.</t>
  </si>
  <si>
    <t>stauffer@climate.unibe.ch</t>
  </si>
  <si>
    <t>Chappellaz, Jérôme A./A-4872-2011; Fluckiger, Jacqueline/G-3457-2011</t>
  </si>
  <si>
    <t>10.3189/172756402781816861</t>
  </si>
  <si>
    <t>WOS:000182023600034</t>
  </si>
  <si>
    <t>Röthlisberger, R; Hutterli, MA; Wolff, EW; Mulvaney, R; Fischer, H; Bigler, M; Goto-Azuma, K; Hansson, ME; Ruth, U; Siggaard-Andersen, ML; Steffensen, JP</t>
  </si>
  <si>
    <t>Nitrate in Greenland and Antarctic ice cores:: a detailed description of post-depositional processes</t>
  </si>
  <si>
    <t>SPATIAL VARIABILITY; SURFACE SNOW; CHEMISTRY; SHEET; SULFATE; AEROSOL; FIRN; HNO3; AIR; PRECIPITATION</t>
  </si>
  <si>
    <t>A compilation of nitrate (NO3-) data from Greenland has shown that recent NO3- concentrations reveal a temperature dependence similar to that seen in Antarctica. Except for sites with very low accumulation rates, lower temperatures tend to lead to higher NO3- concentrations preserved in the ice. Accumulation rate, which is closely linked to temperature, might influence the concentrations preserved in snow as well, but its effect cannot be separated from the temperature imprint. Processes involved in NO3- deposition are discussed and shown to be temperature- and/or accumulation-rate-dependent. Apart from scavenging of nitric acid (HNO3) during formation of precipitation, uptake of HNO3 onto the ice crystal's surface during and after precipitation seems to contribute further to the NO3- concentrations found in surface snow. Post-depositional loss of NO3- from the top snow layers is caused by release of HNO3 and by photolysis of NO3-. It is suggested that photolysis accounts for considerable losses at sites with very low accumulation rates. Depending on the site characteristic, and given that the temperature and accumulation-rate dependence is quantified, it should be possible to infer changes in atmospheric HNO3 concentrations.</t>
  </si>
  <si>
    <t>Univ Bern, CH-3012 Bern, Switzerland; British Antarctic Survey, Nat Environm Res Council, Cambridge CB3 0ET, England; Univ Arizona, Dept Hydrol &amp; Water Resources, Tucson, AZ 85721 USA; Alfred Wegener Inst Polar &amp; Marine Res, D-27515 Bremerhaven, Germany; Natl Inst Polar Res, Itabashi Ku, Tokyo 1738515, Japan; Stockholm Univ, Dept Phys Geog &amp; Quaternary Geol, S-10691 Stockholm, Sweden; Heidelberg Univ, Inst Umweltphys, D-69120 Heidelberg, Germany; Univ Copenhagen, Niels Bohr Inst Astron Phys &amp; Geophys, Dept Geophys, DK-2100 Copenhagen, Denmark</t>
  </si>
  <si>
    <t>University of Bern; UK Research &amp; Innovation (UKRI); Natural Environment Research Council (NERC); NERC British Antarctic Survey; University of Arizona; Helmholtz Association; Alfred Wegener Institute, Helmholtz Centre for Polar &amp; Marine Research; Research Organization of Information &amp; Systems (ROIS); National Institute of Polar Research (NIPR) - Japan; Stockholm University; Ruprecht Karls University Heidelberg; University of Copenhagen; Niels Bohr Institute</t>
  </si>
  <si>
    <t>rro@bas.ac.uk</t>
  </si>
  <si>
    <t>Wolff, Eric W/D-7925-2014; Steffensen, Jorgen Peder/JFS-7831-2023; Bishnoi, Mamta/AAQ-8346-2021; Bigler, Matthias/HTT-3872-2023; Fischer, Hubertus/A-1211-2014; Mulvaney, Robert/K-3929-2012</t>
  </si>
  <si>
    <t>Wolff, Eric W/0000-0002-5914-8531; Steffensen, Jorgen Peder/0000-0002-5516-1093; Bishnoi, Mamta/0000-0003-4987-0536; Bigler, Matthias/0000-0003-0184-4013; Fischer, Hubertus/0000-0002-2787-4221; Mulvaney, Robert/0000-0002-5372-8148</t>
  </si>
  <si>
    <t>10.3189/172756402781817220</t>
  </si>
  <si>
    <t>Bronze, Green Submitted, Green Published</t>
  </si>
  <si>
    <t>WOS:000182023600035</t>
  </si>
  <si>
    <t>Kohno, M; Fujii, Y</t>
  </si>
  <si>
    <t>Past 220 year bipolar volcanic signals: remarks on common features of their source volcanic eruptions</t>
  </si>
  <si>
    <t>DRONNING MAUD LAND; EXPLOSIVE VOLCANISM; SEASONAL-VARIATIONS; ICE; SULFUR; RECORD; CHLORINE; SULFATE; ANTARCTICA</t>
  </si>
  <si>
    <t>During the past 220 years, prominent signals of non-sea salt sulfate ion (nssSO(4)(2-)) concentration exceeding the background level, including both marine biogenic and anthropogenic SO42-, were found in shallow ice cores from site H15 in East Antarctica and Site-J in southern Greenland. They were mostly correlated with past explosive volcanic eruptions. On the basis of this result and published results of shallow ice cores and snow pits at various locations on the Antarctic and Greenland ice sheets, eight common signals were found, of which six were assigned to the following explosive eruptions: El Chichon, Mexico, in 1982; Agung, Indonesia, in 1963; Santa Maria, Guatemala, in 1902; Krakatau, Indonesia, in 1883; Cosiguina, Nicaragua, in 1835; an unknown volcano between 1831 and 1834; Tambora, Indonesia, in 1815; and an unknown volcano in 1809. Volcanic eruptions which have a potential to imprint their signals in both the Antarctic and Greenland ice sheets were characterized by (1) location in low latitudes between 20degrees N and 10degrees S, and (2) eruption column height greater than or equal to25 km, corresponding to a volcanic explosivity index (VEI) greater than or equal to5.</t>
  </si>
  <si>
    <t>Natl Inst Polar Res, Itabashi Ku, Tokyo 1738515, Japan</t>
  </si>
  <si>
    <t>Natl Inst Polar Res, Itabashi Ku, Tokyo 1738515, Japan.</t>
  </si>
  <si>
    <t>mkohno@pmg.nipr.ac.jp</t>
  </si>
  <si>
    <t>10.3189/172756402781816807</t>
  </si>
  <si>
    <t>WOS:000182023600036</t>
  </si>
  <si>
    <t>Baker, I; Cullen, D</t>
  </si>
  <si>
    <t>The structure and chemistry of 94 m Greenland Ice Sheet Project 2 ice</t>
  </si>
  <si>
    <t>WATER-VEIN SYSTEM; X-RAY TOPOGRAPHY; POLYCRYSTALLINE ICE; GRAIN-BOUNDARIES; DYNAMIC RECRYSTALLIZATION; THERMAL-BEHAVIOR; ANTARCTIC ICE; DISLOCATIONS; ACID</t>
  </si>
  <si>
    <t>Optical microscopy, X-ray topography, scanning electron microscopy and X-ray spectroscopy have been used for microstructural analysis of ice from 94 m depth from Greenland Ice Sheet Project 2. The ice had a high density of air bubbles, a 2 rum grain-size and contained a high dislocation density tit most grains ( &gt;1 x 10(10) m(-2)), although a few lower-dislocation-density grains were present. The main impurities, Na and Cl, were found in several grain boundaries and triple points, often as filaments. Na and Cl were also found in the lattice, but to a lesser extent, along with S, Mg, K and Ca. These observations are compared to previous studies of dislocations and impurity locations in natural ice.</t>
  </si>
  <si>
    <t>ian.baker@dartmouth.edu</t>
  </si>
  <si>
    <t>10.3189/172756402781816627</t>
  </si>
  <si>
    <t>WOS:000182023600037</t>
  </si>
  <si>
    <t>Kekonen, T; Moore, JC; Mulvaney, R; Isaksson, E; Pohjola, V; Van de Wal, RSW</t>
  </si>
  <si>
    <t>A 800 year record of nitrate from the Lomonosovfonna ice core, Svalbard</t>
  </si>
  <si>
    <t>ANTHROPOGENIC SULFATE; GREENLAND; CLIMATE; ACID; DOME</t>
  </si>
  <si>
    <t>Detailed chemical analysis of the 122 in, relatively high-altitude and low-melt Lomonosovfonna ice core provides the best-dated record of nitrate from Svalbard. A very significant non-linear trend present in the record shows: (a) a rise in concentrations from the 12th to the mid-16th century, (b) reasonably stable concentrations until the mid-19th century, (c) a rise in concentrations into the 20th century, with (d) a rapid rise in the 1950s and (e) a decrease after the mid-1980s. Nitrate is well correlated with ammonium before 1920 and after 1960 but not in the intervening period. The correlation between ammonium and nitrate concentrations indicates that ammonium nitrate (NH4NO3) has been common at Lomonosovfonna. There are also places in the core where nitrate is very closely associated with calcium.</t>
  </si>
  <si>
    <t>Univ Lapland, Arctic Ctr, FIN-96101 Rovaniemi, Finland; Univ Oulu, Dept Chem, FIN-90014 Oulu, Finland; British Antarctic Survey, Nat Environm Res Council, Cambridge CB3 0ET, England; Polar Environm Ctr, Norwegian Polar Res Inst, N-9296 Tromso, Norway; Uppsala Univ, Dept Earth Sci, S-75236 Uppsala, Sweden; Univ Utrecht, Inst Marine &amp; Atmospher Res, NL-3508 TA Utrecht, Netherlands</t>
  </si>
  <si>
    <t>University of Lapland; University of Oulu; UK Research &amp; Innovation (UKRI); Natural Environment Research Council (NERC); NERC British Antarctic Survey; Norwegian Polar Institute; Uppsala University; Utrecht University</t>
  </si>
  <si>
    <t>Univ Lapland, Arctic Ctr, POB 122, FIN-96101 Rovaniemi, Finland.</t>
  </si>
  <si>
    <t>teija.kekonen@oulu.fi</t>
  </si>
  <si>
    <t>van de wal, roderik/D-1705-2011; Moore, John C/B-2868-2013; Mulvaney, Robert/K-3929-2012</t>
  </si>
  <si>
    <t>van de wal, roderik/0000-0003-2543-3892; Moore, John C/0000-0001-8271-5787; pohjola, veijo/0000-0001-6851-1673; Mulvaney, Robert/0000-0002-5372-8148</t>
  </si>
  <si>
    <t>10.3189/172756402781817121</t>
  </si>
  <si>
    <t>WOS:000182023600043</t>
  </si>
  <si>
    <t>Traversi, R; Becagli, S; Castellano, E; Migliori, A; Severi, M; Udisti, R</t>
  </si>
  <si>
    <t>High-resolution fast ion chromatography (FIC) measurements of chloride, nitrate and sulphate along the EPICA Dome C ice core</t>
  </si>
  <si>
    <t>POLAR ICE; COASTAL ANTARCTICA; EAST ANTARCTICA; FIRN LAYERS; RECORD; CLIMATE; VOSTOK; CYCLE; GREENLAND; SNOW</t>
  </si>
  <si>
    <t>Fast ion chromatographic (FIC) analysis of the first European Project for Ice Coring in Antarctica (EPICA) Dome C ice core (788 in deep) was used to obtain high-resolution profiles for Cl-, NO3- and SO42-, spanning the last 45 000 years. About 19 000 determinations for each component, with an average resolution of 4.0 cm, were performed in the field on continuously melted firn- and ice-core sections. The measured core covers the Holocene, the glacial/interglacial transition and about one-third of the last ice age. In the glacial period, mean concentrations of 93.8, 24.4 and 178.4 mug L-1 were calculated for Cl-, NO3- and SO42-, respectively. The mean levels significantly increase in the Last Glacial Maximum (LGM), when these compounds reach values of 149.6, 53.9 and 219.3 mug L-1. During the glacial/interglacial transition, the mean concentrations quickly decrease reaching the typical Holocene values of 19.1, 12.9 and 93.3 mug L-1, for Cl-, NO3- and SO42-, respectively. All species settle on Holocene-like values about 4000 years before the beginning of the warm period (from the isotopic curve) showing a low (chloride) and no (nitrate and sulphate) sensitivity to Antarctic Cold Reversal climatic change. The sulphate decrease is consistent with the dilution factor due to the higher accumulation rate in the interglacial conditions (about 2.5), suggesting no significant change in source intensity or transport efficiency occurred for this component. On the contrary, the Holocene values for chloride and nitrate, being much lower than those measured in the LGM, suggest a source-intensity and transport-efficiency enhancement during the LGM and/or a more effective fixing of HCl and HNO3 in the snow layers through the neutralizing effect of the higher atmospheric dust load.</t>
  </si>
  <si>
    <t>Univ Florence, Dept Chem, I-50019 Sesto Fiorentino, Florence, Italy</t>
  </si>
  <si>
    <t>University of Florence</t>
  </si>
  <si>
    <t>Univ Florence, Dept Chem, I-50019 Sesto Fiorentino, Florence, Italy.</t>
  </si>
  <si>
    <t>rita.traversi@unifi.it</t>
  </si>
  <si>
    <t>Becagli, Silvia/GNW-2665-2022; Udisti, Roberto/M-7966-2015; Traversi, Rita/M-7586-2015; Severi, Mirko/J-2508-2012</t>
  </si>
  <si>
    <t>Udisti, Roberto/0000-0003-4440-8238; Traversi, Rita/0000-0002-9790-2195; Becagli, Silvia/0000-0003-3633-4849; Severi, Mirko/0000-0003-1511-6762</t>
  </si>
  <si>
    <t>10.3189/172756402781816564</t>
  </si>
  <si>
    <t>WOS:000182023600048</t>
  </si>
  <si>
    <t>Littot, GC; Mulvaney, R; Röthlisberger, R; Udisti, R; Wolff, EW; Castellano, E; De Angelis, M; Hansson, ME; Sommer, S; Steffenssen, JP</t>
  </si>
  <si>
    <t>Comparison of analytical methods used for measuring major ions in the EPICA Dome C (Antarctica) ice core</t>
  </si>
  <si>
    <t>ATMOSPHERIC CIRCULATION; LAST; GREENLAND; RECORD; CYCLE</t>
  </si>
  <si>
    <t>In the past, ionic analyses of deep ice cores tended to consist of a few widely spaced measurements that indicated general trends in concentration. The ion-chromatographic methods widely used provide well-validated individual data, but are time-consuming. The development of continuous flow analysis (CIA) methods has allowed very rapid, high-resolution data to be collected in the field for a wide range of ions. In the European Project for Ice Coring in Antarctica (EPICA) deep ice-core drilling at Dome C, many ions have been measured at high resolution, and several have been analyzed by more than one method. The full range of ions has been measured in five different laboratories by ion chromatography (IC), at resolutions of 2.5-10 cm. In the field, CIA was used to measure the ions Na+, Ca2+, nitrate and ammonium. Additionally, a new semi-continuous in situ IC method, fast ion chromatography (FIC), was used to analyze sulphate, nitrate and chloride. Some data are now available to 788 in depth. In this paper we compare the data obtained by the three methods, and show that the rapid methods (CIA and FIC) give an excellent indication of trends in ionic data. Differences between the data from the different methods do occur, and in some cases these are genuine, being due to differences in speciation in the methods. We conclude that the best system for most deep ice-core analysis is a rapid system of CIA and FIC, along with in situ meltwater collection for analysis of other ions by IC, but that material should be kept aside for a regular check on analytical quality and for more detailed analysis of some sections.</t>
  </si>
  <si>
    <t>British Antarctic Survey, Nat Environm Res Council, Cambridge CB3 0ET, England; Univ Bern, CH-3012 Bern, Switzerland; Univ Calabria, Dept Chem, I-87030 Arcavacata Di Rende, Cosenza, Italy; Univ Florence, Dept Chem, I-50121 Florence, Italy; CNRS, Lab Glaciol &amp; Geophys Environm, F-38402 St Martin Dheres, France; Stockholm Univ, Dept Phys Geog &amp; Quaternary Geol, S-10691 Stockholm, Sweden; Univ Copenhagen, Niels Bohr Inst, Dept Geophys, DK-2100 Copenhagen, Denmark</t>
  </si>
  <si>
    <t>UK Research &amp; Innovation (UKRI); Natural Environment Research Council (NERC); NERC British Antarctic Survey; University of Bern; University of Calabria; University of Florence; Centre National de la Recherche Scientifique (CNRS); Stockholm University; University of Copenhagen; Niels Bohr Institute</t>
  </si>
  <si>
    <t>British Antarctic Survey, Nat Environm Res Council, Madingley Rd, Cambridge CB3 0ET, England.</t>
  </si>
  <si>
    <t>gcl@bas.ac.uk</t>
  </si>
  <si>
    <t>Udisti, Roberto/M-7966-2015; Wolff, Eric W/D-7925-2014; Steffensen, Jorgen Peder/JFS-7831-2023; Mulvaney, Robert/K-3929-2012</t>
  </si>
  <si>
    <t>Udisti, Roberto/0000-0003-4440-8238; Wolff, Eric W/0000-0002-5914-8531; Steffensen, Jorgen Peder/0000-0002-5516-1093; Mulvaney, Robert/0000-0002-5372-8148; Becagli, Silvia/0000-0003-3633-4849</t>
  </si>
  <si>
    <t>10.3189/172756402781817022</t>
  </si>
  <si>
    <t>WOS:000182023600049</t>
  </si>
  <si>
    <t>LGM-Holocene changes and Holocene millennial-scale oscillations of dust particles in the EPICA Dome C ice core, East Antarctica</t>
  </si>
  <si>
    <t>LAST GLACIAL MAXIMUM; NORTH-ATLANTIC; CLIMATE RECORDS; SOUTHERN-OCEAN; GREENLAND ICE; DEEP-WATER; SEA-SALT; VOSTOK; VARIABILITY; CIRCULATION</t>
  </si>
  <si>
    <t>Measurements of the concentration and size distribution of dust particles found in the EPICA (European Project for Ice Coring in Antarctica) Dome C ice core, East Antarctica, provide records covering the last 27 000 years. The total concentration decreased drastically by a factor of 55 from the Last Glacial Maximum (LGM) (800 ppb) to the Holocene (15 ppb), with a well-marked absolute minimum around 11500-11600 years ago. This latter almost corresponds to the end of the Younger Dryas in Greenland, which was marked by a methane peak related to the expansion of tropical wetlands. Assuming that the source region for Antarctic dust is the southern part of South America, the Antarctic dust minimum suggests a larger geographical extent for this wet period. The volume (mass) similar tosize distribution of the particles displays a mode which is close to 2 mum in diameter, shifting from 1.9 mum in the glacial period to 2.07 mum in the Holocene. As opposed to previous results from old Dome C, EPICA suggests a greater proportion of large particles in Holocene samples than in LGM samples. In addition, for the period 13000-2000 BP, structured millennial-scale oscillations of he dust mode appear. These are especially well marked before 5000 years ago, with higher frequencies also present. The difference between LGM and Holocene particle distributions may be related to changes in the pattern of dust transport to East Antarctica. At Dome C the greater proportion of coarse particles observed during the Holocene suggests greater direct meridional transport. During the LGM, atmospheric circulation was likely more zonal, causing a greater amount of large dust particles to be removed from the atmosphere before reaching Antarctica. Changes in atmospheric circulation could also be the cause of the millennial-scale dust-mode oscillations during the Holocene.</t>
  </si>
  <si>
    <t>Delmonte, B (corresponding author), Lab Glaciol &amp; Geophys Environm, F-38402 St Martin Dheres, France.</t>
  </si>
  <si>
    <t>Maggi, Valter/AAX-5728-2020; Delmonte, Barbara/L-2555-2015; Maggi, Valter/E-1878-2014</t>
  </si>
  <si>
    <t>Maggi, Valter/0000-0001-6287-1213; Delmonte, Barbara/0000-0002-9074-2061;</t>
  </si>
  <si>
    <t>10.3189/172756402781816843</t>
  </si>
  <si>
    <t>WOS:000182023600050</t>
  </si>
  <si>
    <t>Fujita, S; Azuma, N; Motoyama, H; Kameda, T; Narita, H; Fujii, Y; Watanabe, O</t>
  </si>
  <si>
    <t>Electrical measurements on the 2503 m Dome F Antarctic ice core</t>
  </si>
  <si>
    <t>CONDUCTIVITY; STRATIGRAPHY; ACIDITY; VOSTOK; LAYERS</t>
  </si>
  <si>
    <t>The 320 kyr climatic record from the 2503 in Dome Fuji (Antarctica) ice core was analyzed using two electrical methods: AC-ECM and ECM (electrical conductivity measurements). AC-ECM is a method to detect the complex admittance between electrodes dragged on the ice surface with mm-scale resolution and uses I V and I MHz. The ratio of the real to imaginary part of the admittance is the AC loss factor, which responds linearly to the amount of sulfuric acid and hydrogen ions. Both the AC loss factor and the ECM current respond to acid, but the ECM signal tends to saturate at high acidities. Dome Fuji ice was measured to be highly acidic, with background values of 2-7 muM, and had &gt; 500 major peaks with acidities of up to 90 muM. This ice-core evidence and earlier snow-chemistry survey around the dome region indicates that Dome F may have a better connection to the stratosphere than have sites at lower altitude, which allows more stratospheric aerosol and gases to reach the snow surface. Acidity tends to be high in interglacial periods, but correlation between acidity and delta(18)O is not straightforward. Electrical signals decreased and smoothed out with increasing depth; the diffusion coefficients deduced from this smoothing were 10-10(2) times greater than in solid ice. The ice core exhibited electromechanical effects and expelling effects from sulfate peaks.</t>
  </si>
  <si>
    <t>Hokkaido Univ, Grad Sch Engn, Dept Appl Phys, Sapporo, Hokkaido 0608628, Japan; Nagaoka Univ Technol, Dept Mech Engn, Nagaoka, Niigata 9402188, Japan; Natl Inst Polar Res, Itabashi Ku, Tokyo 1738515, Japan; Kitami Inst Technol, Kitami, Hokkaido 0908507, Japan; Hokkaido Univ, Inst Low Temp Sci, Sapporo, Hokkaido 0600819, Japan</t>
  </si>
  <si>
    <t>Hokkaido University; Nagaoka University of Technology; Research Organization of Information &amp; Systems (ROIS); National Institute of Polar Research (NIPR) - Japan; Kitami Institute of Technology; Hokkaido University</t>
  </si>
  <si>
    <t>Hokkaido Univ, Grad Sch Engn, Dept Appl Phys, Sapporo, Hokkaido 0608628, Japan.</t>
  </si>
  <si>
    <t>sfujita@pmg.nipr.ac.jp</t>
  </si>
  <si>
    <t>; Fujita, Shuji/A-7884-2016</t>
  </si>
  <si>
    <t>Kameda, Takao/0000-0001-6317-4399; Fujita, Shuji/0000-0003-0127-0777</t>
  </si>
  <si>
    <t>10.3189/172756402781816951</t>
  </si>
  <si>
    <t>WOS:000182023600051</t>
  </si>
  <si>
    <t>Fujita, S; Azuma, N; Motoyama, H; Kameda, T; Narita, H; Matoba, S; Igarashi, M; Kohno, M; Fujii, Y; Watanabe, O</t>
  </si>
  <si>
    <t>Linear and non-linear relations between the high-frequency-limit conductivity, AC-ECM signals and ECM signals of Dome F Antarctic ice core from a laboratory experiment</t>
  </si>
  <si>
    <t>DIELECTRIC-PROPERTIES; MICROWAVE; IH</t>
  </si>
  <si>
    <t>Laboratory experiments were done to better understand the electrical conduction mechanisms of impure, polycrystalline ice as represented by the 2503 in Dome Fuji (Antarctica) ice core. Also, two electrical measurement techniques for ice cores were 9 compared and their usefulness for determining the acidity of ice cores was studied. We measured the electrical conductivity and complex permittivity of 167 slab-ice samples at frequencies from 20 Hz to I MHz. Measurements were performed at -21degreesC for all samples, and at -110degrees to -20degreesC for several samples, to examine the effects of temperature. We found linear relations between the AC loss factor and the molarity of sulfuric acid, and between the high-frequency-limit conductivity and the AC loss factor. Thus, the acidity levels can be determined from the AC loss factor. In contrast, the electrical conductivity measurement (ECM) current correlated weakly with the other parameters; furthermore, the correlation worsens at larger signal. In several samples containing high acidity, the dielectric properties had distinct changes near -81 degreesC. We argue that these changes were caused by a change from a liquid-vein-mediated conduction mechanism above the eutectic point of the solute/water/ice system to a solid-phase conduction mechanism at lower temperatures.</t>
  </si>
  <si>
    <t>Matoba, Sumito/A-4073-2012; Fujita, Shuji/A-7884-2016</t>
  </si>
  <si>
    <t>Matoba, Sumito/0000-0003-2214-4649; Kameda, Takao/0000-0001-6317-4399; Fujita, Shuji/0000-0003-0127-0777</t>
  </si>
  <si>
    <t>10.3189/172756402781817068</t>
  </si>
  <si>
    <t>WOS:000182023600052</t>
  </si>
  <si>
    <t>Palmer, AS; Morgan, VI; Curran, AJ; Van Ommen, TD; Mayewski, PA</t>
  </si>
  <si>
    <t>Antarctic volcanic flux ratios from Law Dome ice cores</t>
  </si>
  <si>
    <t>EXPLOSIVE VOLCANISM; EAST ANTARCTICA; ERUPTIONS; CLIMATE; STATION; RECORDS</t>
  </si>
  <si>
    <t>Explosive volcanic eruptions can inject large quantities of sulphur dioxide into the stratosphere. The aerosols that result from oxidation of the sulphur dioxide can produce significant cooling of the troposphere by reflecting or absorbing solar radiation. It is possible to obtain an estimate of the relative stratospheric sulphur aerosol concentration produced by different volcanoes by comparing sulphuric acid fluxes determined by analysis of polar ice cores. Here, we use a non-sea-salt sulphate time series derived from three well-dated Law Dome ice cores to investigate sulphuric acid flux ratios for major eruptions over the period AD 1301-1995. We use additional data from other cores to investigate systematic spatial variability in the ratios. Only for the Kuwae eruption (Law Dome ice date AD 1459.5) was the H2SO4 flux larger than that deposited by Tambora (Law Dome ice date AD 1816.7).</t>
  </si>
  <si>
    <t>Univ Tasmania, Inst Antarctic &amp; So Ocean Studies, Hobart, Tas 7001, Australia; Antarctic CRC, Hobart, Tas 7001, Australia; Australian Antarctic Div, Hobart, Tas 7001, Australia; Univ Maine, Inst Quaternary Studies, Climate Studies Ctr, Orono, ME 04469 USA</t>
  </si>
  <si>
    <t>University of Tasmania; Australian Antarctic Division; University of Maine System; University of Maine Orono</t>
  </si>
  <si>
    <t>Univ Tasmania, Inst Antarctic &amp; So Ocean Studies, Box 252-77, Hobart, Tas 7001, Australia.</t>
  </si>
  <si>
    <t>anne.palmer@utas.edu.au</t>
  </si>
  <si>
    <t>Mayewski, Paul Andrew/HRD-6969-2023; van Ommen, Tas/B-5020-2012</t>
  </si>
  <si>
    <t>10.3189/172756402781816771</t>
  </si>
  <si>
    <t>WOS:000182023600053</t>
  </si>
  <si>
    <t>Curran, MAJ; Palmer, AS; Van Ommen, TD; Morgan, VI; Phillips, K; McMorrow, AJ; Mayewski, PA</t>
  </si>
  <si>
    <t>Post-depositional movement of methanesulphonic acid at Law Dome, Antarctica, and the influence of accumulation rate</t>
  </si>
  <si>
    <t>ICE CORES; SEASONAL-VARIATIONS; ION CHROMATOGRAPHY; METHANE SULFONATE; SNOW ACCUMULATION; DIMETHYL SULFIDE; SOUTHERN-OCEAN; MAJOR IONS; FIRN; SULFATE</t>
  </si>
  <si>
    <t>A series of ice cores from sites with different snow-accumulation rates across Law Dome, East Antarctica, was investigated for methanesulphonic acid (MSA) movement. The precipitation at these sites (up to 35 km apart) is influenced by the same air masses, the principal difference being the accumulation rate. At the low-accumulation-rate W20k site (0.17 in ice equivalent), MSA was completely relocated from the summer to winter layer. Moderate movement was observed at the intermediate-accumulation-rate site (0.7 in ice equivalent), Dome Summit South (DSS), while there was no evidence of movement at the high-accumulation-rate DE08 site (1.4 in ice equivalent). The main DSS record of MSA covered the epoch AD 1727-2000 and was used to investigate temporal post-depositional changes. Co-deposition of MSA and sea-salt ions was observed of the surface layers, outside of the main summer MSA peak, which complicates interpretation of these peaks as evidence of movement in deeper layers. A seasonal study of the 273 year DSS record revealed MSA migration predominantly from summer into autumn (in the up-core direction), but this migration was suppressed during the Tambora (1815) and unknown (1809) volcanic eruption period, and enhanced during an epoch (1770-1800) with high summer nitrate levels. A complex interaction between the gradients in nss-sulphate, nitrate and sea salts (which are influenced by accumulation rate) is believed to control the rate and extent of movement of MSA.</t>
  </si>
  <si>
    <t>Antarctic CRC, Hobart, Tas 7001, Australia; Australian Antarctic Div, Hobart, Tas 7001, Australia; Univ Tasmania, Inst Antarctic &amp; So Ocean Studies, Hobart, Tas 7001, Australia; Univ Maine, Inst Quaternary Res &amp; Climate Studies, Orono, ME 04469 USA</t>
  </si>
  <si>
    <t>Australian Antarctic Division; University of Tasmania; University of Maine System; University of Maine Orono</t>
  </si>
  <si>
    <t>Antarctic CRC, Box 252-80, Hobart, Tas 7001, Australia.</t>
  </si>
  <si>
    <t>mark.curran@utas.edu.au</t>
  </si>
  <si>
    <t>10.3189/172756402781816528</t>
  </si>
  <si>
    <t>WOS:000182023600054</t>
  </si>
  <si>
    <t>Simoes, JC; Petit, JR; Souchez, R; Lipenkov, VY; De Angelis, M; Liu, LB; Jouzel, J; Duval, P</t>
  </si>
  <si>
    <t>Evidence of glacial flour in the deepest 89 m of the Vostok ice core</t>
  </si>
  <si>
    <t>SUBGLACIAL LAKE VOSTOK; ANTARCTICA; CLIMATE; RECORD; SHEET; DUST</t>
  </si>
  <si>
    <t>The 3623 in long Vostok ice core is divided into two main parts: (1) from the surface to a depth of 3310 in, the ice layers are undisturbed and may be used to reconstruct the climatic record over the past 420 kyr; (2) from 3538 in to the bottom, the core is made up of accreted ice formed by freezing of the lake. In between, the glacier ice is disturbed by ice dynamics, as shown, for example, by inclined volcanic-ash layers. Microparticle concentrations and distributions as well as ionic and isotopic content were used to subdivide this third section. The identification of layers with bedrock material provides clues as to the entrainment processes at sub-freezing temperatures. Dust concentration and size distribution as well as ionic content arc comparable with values found in ice of glacial and interglacial periods. Below 34,50 in depth, however, the mode of the volume size distribution clearly shifts from 2.1 mum to 3.4 mum in diameter. Particles as large as 30 mum In diameter are observed and cannot have an aeolian origin. From microscopic observations, we suggest that they originate from the bedrock and represent glacial flour entrained in a shear layer up to 89 in from the glacier sole. This process most likely occurred when the ice sheet was grounded before flowing over the lake.</t>
  </si>
  <si>
    <t>CNRS, Lab Glaciol &amp; Geophys Environm, BP 96,54 Rue Moliere, F-38402 St Martin Dheres, France; Free Univ Brussels, Fac Sci, Dept Sci Terre, B-1050 Brussels, Belgium; Arctic &amp; Antarctic Res Inst, St Petersburg 199397, Russia; CEA Saclay, CNRS, UMR 1572, Lab Sci Climat &amp; Environm, F-91191 Gif Sur Yvette, France; Univ Fed Rio Grande do Sul, Inst Geociencias, Lab Pesquisas Antartica &amp; Glaciol, BR-91501970 Porto Alegre, RS, Brazil; Polar Res Inst China, Glaciol Div, Shanghai 200129, Peoples R China</t>
  </si>
  <si>
    <t>Centre National de la Recherche Scientifique (CNRS); Universite Libre de Bruxelles; Arctic &amp; Antarctic Research Institute; Universite Paris Saclay; CEA; Centre National de la Recherche Scientifique (CNRS); Universidade Federal do Rio Grande do Sul; Polar Research Institute of China</t>
  </si>
  <si>
    <t>CNRS, Lab Glaciol &amp; Geophys Environm, BP 96,54 Rue Moliere, F-38402 St Martin Dheres, France.</t>
  </si>
  <si>
    <t>jefferson.simoes@ufrgs.br</t>
  </si>
  <si>
    <t>Simoes, Jefferson Cardia/D-7232-2013; Lipenkov, Vladimir/Q-8262-2016</t>
  </si>
  <si>
    <t>Simoes, Jefferson Cardia/0000-0001-5555-3401; Lipenkov, Vladimir/0000-0003-4221-5440</t>
  </si>
  <si>
    <t>10.3189/172756402781816816</t>
  </si>
  <si>
    <t>WOS:000182023600055</t>
  </si>
  <si>
    <t>Van de Wal, RSW; Mulvaney, R; Isaksson, E; Moore, JC; Pinglot, JF; Pohjola, VA; Thomassen, PA</t>
  </si>
  <si>
    <t>Reconstruction of the historical temperature trend from measurements in a medium-length borehole on the Lomonosovfonna plateau, Svalbard</t>
  </si>
  <si>
    <t>ICE-SHEET; GREENLAND; PROFILES; CLIMATE; RECORD; CORE</t>
  </si>
  <si>
    <t>A medium-length ice core was drilled at the ice divide oil the Lomorlosov-fonna plateau (1230 in a.s.l.), Svalbard, in May 1997. As part of this project, temperature measurements were performed in the 120 in deep borehole. At this site the ice thickness based oil radar measurements is 126.5 m and the mean annual accumulation rate is 380 kg m(-3). The measurements over the 15-120 in depth interval show a nearly isothermal profile with a mean value of -2.8degreesC and a standard deviation of 0.2degreesC. The measurements reveal a temperature minimum at approximately 70 in depth and a temperature gradient of 0.011 +/- 0.004degreesC m(-1) near the bottom. The temperature minimum and relatively low temperature gradient cannot be explained in terms of a steady-state climate. Numerical calculations with a simple one-dimensional diffusion-advection model show that the temperature increased at a maximum rate of 0.02-0.025 Ka(-1) over the last 100 years, the total temperature increase amounting to 2.0-3.0 K. Forcing the model with the observed record at Svalbard airport revealed that In the 19th century the surface temperature was at most 2.5 K lower, and that the instrumental observations started during a period with temperatures comparable to the end of the 19th century. The data are of particular interest for historical simulations since often no other temperature data are available in polar areas.</t>
  </si>
  <si>
    <t>Univ Utrecht, Inst Marine &amp; Atmospher Res, NL-3584 CC Utrecht, Netherlands; British Antarctic Survey, NERC, Cambridge CB3 0ET, England; Norwegian Polar Res Inst, Polar Environm Ctr, N-9296 Tromso, Norway; Univ Lapland, Arctic Ctr, FIN-96101 Rovaniemi, Finland; CNRS, Lab Glaciol &amp; Geophys Environm, F-38402 St Martin Dheres, France; Uppsala Univ, Inst Earth Sci, S-75236 Uppsala, Sweden</t>
  </si>
  <si>
    <t>Utrecht University; UK Research &amp; Innovation (UKRI); Natural Environment Research Council (NERC); NERC British Antarctic Survey; Norwegian Polar Institute; University of Lapland; Centre National de la Recherche Scientifique (CNRS); Uppsala University</t>
  </si>
  <si>
    <t>Univ Utrecht, Inst Marine &amp; Atmospher Res, POB 80-005,Princetonpl 5, NL-3584 CC Utrecht, Netherlands.</t>
  </si>
  <si>
    <t>wal@phys.uu.nl</t>
  </si>
  <si>
    <t>Moore, John C/B-2868-2013; van de wal, roderik/D-1705-2011; Mulvaney, Robert/K-3929-2012</t>
  </si>
  <si>
    <t>Moore, John C/0000-0001-8271-5787; van de wal, roderik/0000-0003-2543-3892; pohjola, veijo/0000-0001-6851-1673; Mulvaney, Robert/0000-0002-5372-8148</t>
  </si>
  <si>
    <t>10.3189/172756402781816979</t>
  </si>
  <si>
    <t>WOS:000182023600060</t>
  </si>
  <si>
    <t>Hondoh, T; Shoji, H; Watanabe, O; Salamatin, AN; Lipenkov, VY</t>
  </si>
  <si>
    <t>Depth-age and temperature prediction at Dome Fuji station East Antarctica</t>
  </si>
  <si>
    <t>VOSTOK ICE CORE; ISOTOPE; CLIMATE; PROFILES; RECORD</t>
  </si>
  <si>
    <t>The geophysical metronome (Milankovitch components of the past surface temperature variations) and the isotope-temperature transfer function deduced from the borehole temperature profile at Vostok station, Antarctica, are applied to date the 2500 in deep ice core from Dome Fuji station, Antarctica, and to reconstruct paleoclimatic conditions at the drilling site on the basis of the local delta(18)O isotope record. Special attention is paid to consistency of this depth-age relation with the mass-balance reconstruction and predictions of ice-flow modeling. The present-day ice mass-balance rate at Dome Fuji is estimated as 3.2 cm a(-1). The ice age at the borehole bottom (590 in above the bedrock) is around 335 +/- 4.5 kyr and may reach 2000 kyr at about 3000 in depth. The difference in the ice-sheet surface temperatures between Holocene optimum and Last Glacial Maximum is found to be 17.8degreesC at the temporal isotope/temperature slope, about 30% lower than the modern geographical estimates. A good agreement between modeled and measured 2 (preliminary data) borehole temperatures is obtained at the geothermal flux 0.059 W m(-2) and ice-fusion temperature (-2degreesC) at the ice-rock interface with minimum (zero) melt rates.</t>
  </si>
  <si>
    <t>Hokkaido Univ, Inst Low Temp Sci, Sapporo, Hokkaido 0600819, Japan; Kitami Inst Technol, New Energy Resources Res Ctr, Kitami, Hokkaido 0908507, Japan; Natl Inst Polar Res, Itabashi Ku, Tokyo 9308555, Japan; Kazan VI Lenin State Univ, Dept Math Appl, Kazan 420008, Russia; Arctic &amp; Antarctic Res Inst, St Petersburg 199397, Russia</t>
  </si>
  <si>
    <t>Hokkaido University; Kitami Institute of Technology; Research Organization of Information &amp; Systems (ROIS); National Institute of Polar Research (NIPR) - Japan; Kazan Federal University; Arctic &amp; Antarctic Research Institute</t>
  </si>
  <si>
    <t>Hokkaido Univ, Inst Low Temp Sci, Sapporo, Hokkaido 0600819, Japan.</t>
  </si>
  <si>
    <t>hnd@hhp2.lowtem.hokudai.ac.jp</t>
  </si>
  <si>
    <t>Lipenkov, Vladimir/Q-8262-2016; HONDOH, Takeo/E-7551-2011; Salamatin, Andrey/A-9831-2016</t>
  </si>
  <si>
    <t>Lipenkov, Vladimir/0000-0003-4221-5440; HONDOH, Takeo/0000-0003-4129-022X; Salamatin, Andrey/0000-0002-5988-6024</t>
  </si>
  <si>
    <t>10.3189/172756402781817013</t>
  </si>
  <si>
    <t>WOS:000182023600062</t>
  </si>
  <si>
    <t>Meyerson, EA; Mayewski, PA; Kreutz, KJ; Meeker, LD; Whitlow, SI; Twickler, MS</t>
  </si>
  <si>
    <t>The polar expression of ENSO and sea-ice variability as recorded in a South Pole ice core</t>
  </si>
  <si>
    <t>COASTAL ANTARCTIC AEROSOL; EL-NINO; METHANESULFONIC-ACID; SALT SULFATE; OSCILLATION; SNOW; PRECIPITATION; EXTENT; PHYTOPLANKTON; TEMPERATURE</t>
  </si>
  <si>
    <t>An annually dated ice core recovered from South Pole (2850 in a.s.l.) in 1995, that covers the period 1487-1992, was analyzed for the marine biogenic sulfur species methanesulfonate (MS). Empirical orthogonal function analysis is used to calibrate the high-resolution MS series with associated environmental series for the period of overlap (1973-92). Utilizing this calibration we present a similar to500 year long proxy record of the polar expression of the El Nino-Southern Oscillation (ENSO) and southeastern Pacific sea-ice extent variations. These records reveal short-term periods of increased (1800-50, 1900-40) and decreased sea-ice extent (1550-1610., 1660-1710, 1760-1800). In general, increased (decreased) sea-ice extent is associated with a higher (lower) frequency of El Nino events.</t>
  </si>
  <si>
    <t>Univ Maine, Inst Quaternary &amp; Climate Studies, Orono, ME 04469 USA; Univ Maine, Dept Geol Sci, Orono, ME 04469 USA; Univ New Hampshire, Inst Study Earth Oceans &amp; Space, Climate Change Res Ctr, Durham, NH 03824 USA; Univ New Hampshire, Dept Math, Durham, NH 03824 USA</t>
  </si>
  <si>
    <t>University of Maine System; University of Maine Orono; University of Maine System; University of Maine Orono; University System Of New Hampshire; University of New Hampshire; University System Of New Hampshire; University of New Hampshire</t>
  </si>
  <si>
    <t>eric.meyerson@maine.edu</t>
  </si>
  <si>
    <t>Mayewski, Paul Andrew/HRD-6969-2023</t>
  </si>
  <si>
    <t>10.3189/172756402781817149</t>
  </si>
  <si>
    <t>WOS:000182023600069</t>
  </si>
  <si>
    <t>Steig, EJ; Alley, RB</t>
  </si>
  <si>
    <t>Phase relationships between Antarctic and Greenland climate records</t>
  </si>
  <si>
    <t>NORTHERN-HEMISPHERE; LAST DEGLACIATION; TROPICAL PACIFIC; COLD REVERSAL; TAYLOR DOME; ICE CORE; CIRCULATION</t>
  </si>
  <si>
    <t>Comparison of climate records from Antarctic and Greenland ice cores shows that the two regions respond asynchronously during millennial-scale climate changes. The apparent out-of-phase relationship between the records has been described as a climate seesaw in which cooling in the Northern Hemisphere is balanced by warming in the Southern Hemisphere. The same relationship has also been attributed to the initiation of climate-change events in the Southern Hemisphere, rather than the North Atlantic as is conventionally assumed. A simple statistical approach - band-pass filtering combined with lag-correlation tests-used to examine the phase relationships in more detail shows that neither an anti-phase nor a phase-lag relationship adequately describes the observations. Whereas Antarctic and Greenland climate records do exhibit approximate anti-phase behavior about 50% of the time, the), are generally in phase during cooling. A phase lead of Southern Hemisphere climate of 1000-1600 years is statistically indistinguishable from a lag of 400-800 years, whether for Dansgaard-Oeschger, Heinrich or longer-duration events. The seesaw or Southern lead appearance of the data arises from the fundamentally different characteristics of the climate time series, most importantly the absence of rapid warming events in Antarctica comparable to those in Greenland. To be consistent with the observations, climate models will need to capture these characteristics, in addition to reproducing the correct phase relationships.</t>
  </si>
  <si>
    <t>Univ Washington, Quaternary Res Ctr, Seattle, WA 98195 USA; Univ Washington, Dept Earth &amp; Space Sci, Seattle, WA 98195 USA; Penn State Univ, Inst Environm, University Pk, PA 16802 USA; Penn State Univ, Dept Geosci, University Pk, PA 16802 USA</t>
  </si>
  <si>
    <t>University of Washington; University of Washington Seattle; University of Washington; University of Washington Seattle;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</si>
  <si>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Univ Washington, Quaternary Res Ctr, Seattle, WA 98195 USA.</t>
  </si>
  <si>
    <t>steig@ess.washington.edu</t>
  </si>
  <si>
    <t>/G-9088-2015</t>
  </si>
  <si>
    <t>10.3189/172756402781817211</t>
  </si>
  <si>
    <t>WOS:000182023600072</t>
  </si>
  <si>
    <t>McMorrow, AJ; Curran, MAJ; Van Ommen, TD; Morgan, VI; Allison, I</t>
  </si>
  <si>
    <t>Features of meteorological events preserved in a high-resolution Law Dome (East Antarctica) snow pit</t>
  </si>
  <si>
    <t>ATMOSPHERIC CIRCULATION; SOUTHERN-OCEAN; ICE; CLIMATOLOGY; CORE</t>
  </si>
  <si>
    <t>Snow-pit and shallow firn-core records of oxygen isotope ratios) and trace ion species were generated at a high-accumulation site on Law Dome, East Antarctica. Concordance between accumulation events identified in records up to 7.7 km apart confirms that the observed glaciochemical variations are the result of regional rather than local surface effects. This allows calibration of the snow-pit records with measured meteorological parameters. Net accumulation periods that comprise the snow-pit record are identified using hourly snow-accumulation measurements from a co-located automatic weather station (AWS). Particular focus is given to three net accumulation periods preserved during austral summer 1999/2000 that correspond to the top 0.5 m of the snow pit. Local meteorological conditions recorded during the summer accumulation periods by the AWS are combined with regional and synoptic-scale meteorology derived from Casey station (110 km away) and Advanced Very High Resolution Radiometer satellite imagery to identify potential source regions for chemical signals preserved in summer snow at Law Dome.</t>
  </si>
  <si>
    <t>IASOS, Hobart, Tas 7001, Australia; Antarctic CRC, Hobart, Tas 7001, Australia; Antarctic CRC, Hobart, Tas 7001, Australia; Australian Antarctic Div, Hobart, Tas 7001, Australia</t>
  </si>
  <si>
    <t>IASOS, Box 252-77, Hobart, Tas 7001, Australia.</t>
  </si>
  <si>
    <t>mark.curran@ulas.edu.au</t>
  </si>
  <si>
    <t>Allison, Ian F/I-4477-2015; van Ommen, Tas/B-5020-2012</t>
  </si>
  <si>
    <t>Allison, Ian F/0000-0001-9599-0251; van Ommen, Tas/0000-0002-2463-1718</t>
  </si>
  <si>
    <t>10.3189/172756402781816780</t>
  </si>
  <si>
    <t>WOS:000182023600074</t>
  </si>
  <si>
    <t>Weiss, J; Vidot, J; Gay, M; Arnaud, L; Duval, P; Petit, JR</t>
  </si>
  <si>
    <t>Dome Concordia ice microstructure: impurities effect on grain growth</t>
  </si>
  <si>
    <t>CORE; ANTARCTICA; CLIMATE; VOSTOK; RECRYSTALLIZATION; SIMULATION; FABRICS; RECORD; SIZE</t>
  </si>
  <si>
    <t>We present a detailed analysis of the microstructure in the shallow part (100-580 m) of the European Project for Ice Coring in Antarctica (EPICA) ice core at Dome Concordia. In the Holocene ice, the average grain-size increases with depth. This is the normal grain-growth process driven by a reduction of the total grain-boundary energy Deeper, associated with the Holocene-Last Glacial Maximum (LGM) climatic transition, a sharp decrease of the average grain-size is observed. To explain modifications to the microstructure with climatic change, we discuss the role of soluble and insoluble (microparticles) impurities in the grain-growth process of Antarctic ice, coupled with an analysis of the pinning of grain boundaries by microparticles. Our data indicate that high soluble impurity content does not necessarily imply a slowing-down of grain-growth kinetics, whereas the pinning of grain boundaries by dust particles located along the boundaries does explain modifications to the microstructure (small grain-sizes; change in grain-size distributions, etc.) observed in volcanic ash layers or dusty LGM ice. Moreover, classical mean-Field models of grain-boundary pinning are in good quantitative agreement with the evolution of grain-size along the EPICA ice core. This suggests a major role for dust in the modification of shallow polar ice microstructure.</t>
  </si>
  <si>
    <t>CNRS, Lab Glaciol &amp; Geophys Environm, F-38402 St Martin Dheres, France</t>
  </si>
  <si>
    <t>CNRS, Lab Glaciol &amp; Geophys Environm, 54 Rue Moliere,BP 96, F-38402 St Martin Dheres, France.</t>
  </si>
  <si>
    <t>weiss@lgge.obs.ujf-grenoble.fr</t>
  </si>
  <si>
    <t>Gay, Michel/AAK-6336-2021; Vidot, Jerome/AFP-4273-2022</t>
  </si>
  <si>
    <t>Vidot, Jerome/0000-0002-1069-5809; arnaud, laurent/0000-0002-4432-4205</t>
  </si>
  <si>
    <t>10.3189/172756402781816573</t>
  </si>
  <si>
    <t>WOS:000182023600087</t>
  </si>
  <si>
    <t>Barnes, PRF; Mulvaney, R; Robinson, K; Wolff, EW</t>
  </si>
  <si>
    <t>Observations of polar ice from the Holocene and the glacial period using the scanning electron microscope</t>
  </si>
  <si>
    <t>ANTARCTIC ICE; GRAIN-BOUNDARIES; THERMAL-BEHAVIOR; GREENLAND ICE; CORE; ACID</t>
  </si>
  <si>
    <t>Samples taken from the Dome C ice core, Antarctica, and the GRIP ice core, Greenland, are examined using the scanning electron microscope to determine their microstructure. In both cores, samples are taken from two differing climatic periods: the Holocene and the last glacial period. Many of the usual features observed in similar samples under the light microscope are observed, including: bubbles, grain boundaries and clathrate hydrates. Features not resolvable using the light microscope are also found. Dust particles are found in situ. Eighty-five per cent of those observed contained silicon, which was generally associated with aluminium and magnesium. An estimation is made of the relative proportions of dust particles located at grain boundaries and in the bulk of the ice grain. At Dome C a higher proportion than expected from a random distribution of particles was found located at grain boundaries, although in Greenland this was not found to be the case for most samples. Direct evidence is also presented indicating the role of dust particles and microscopical inclusions in impeding or pinning grain-boundary migration. Soluble impurities are also detected at some triple junctions and grain boundaries.</t>
  </si>
  <si>
    <t>prfb@bas.ac.uk</t>
  </si>
  <si>
    <t>10.3189/172756402781816735</t>
  </si>
  <si>
    <t>WOS:000182023600088</t>
  </si>
  <si>
    <t>Wang, WL; Warner, RC; Budd, WF</t>
  </si>
  <si>
    <t>Ice-flow properties at Dome Summit South, Law Dome, East Antarctica</t>
  </si>
  <si>
    <t>DYE 3; RHEOLOGY</t>
  </si>
  <si>
    <t>Ice-flow properties within a polar ice sheet are examined using the comprehensive data gathered from ice-core drilling by Australian National Antarctic Research Expeditions (ANARE) at Dome Summit South (DSS), on Law Dome, East Antarctica. Using the shear strain rates derived from borehole inclination measurements we demonstrate the need to modify the ice-flow relations to treat enhanced shear deformation deep within the ice sheet. We show that the relation between enhanced flow and the measured crystallographic properties is generally in accord with expectations, at least in the upper parts of the ice sheet, but it becomes clear that nearer to the bedrock the situation is more complicated. We also compare the observed shear strain-rate profile with results from a model that describes flow enhancement as a function of the applied stresses.</t>
  </si>
  <si>
    <t>NASA, Goddard Space Flight Ctr, Raytheon ITSS, Oceans &amp; Ice Branch, Greenbelt, MD 20771 USA; Australian Antarctic Div, Hobart, Tas 7001, Australia; Antarctic CRC, Hobart, Tas 7001, Australia</t>
  </si>
  <si>
    <t>National Aeronautics &amp; Space Administration (NASA); NASA Goddard Space Flight Center; Australian Antarctic Division</t>
  </si>
  <si>
    <t>NASA, Goddard Space Flight Ctr, Raytheon ITSS, Oceans &amp; Ice Branch, Code 971, Greenbelt, MD 20771 USA.</t>
  </si>
  <si>
    <t>weili@icesat2.gsfc.nasa.gov</t>
  </si>
  <si>
    <t>Warner, Roland Charles/ISS-2485-2023; Warner, Robert R./M-5342-2013</t>
  </si>
  <si>
    <t>Warner, Roland Charles/0000-0002-9778-3544;</t>
  </si>
  <si>
    <t>10.3189/172756402781816924</t>
  </si>
  <si>
    <t>WOS:000182023600089</t>
  </si>
  <si>
    <t>Nicolaus, B; Lama, L; Gambacorta, A</t>
  </si>
  <si>
    <t>Berkeley, R; Heyndrickx, M; Logan, N; DeVos, P</t>
  </si>
  <si>
    <t>Thermophilic Bacillus isolates from Antarctic environments</t>
  </si>
  <si>
    <t>APPLICATIONS AND SYSTEMATICS OF BACILLUS AND RELATIVES</t>
  </si>
  <si>
    <t>Meeting on Bacillus and Its Relatives</t>
  </si>
  <si>
    <t>AUG, 2000</t>
  </si>
  <si>
    <t>BRUGGE, BELGIUM</t>
  </si>
  <si>
    <t>SOIL; THERMOANTARCTICUS; POLYSACCHARIDES; IDENTIFICATION; ACIDOCALDARIUS; STRAINS; NOV</t>
  </si>
  <si>
    <t>CNR, Inst Chim Biomol, I-80078 Naples, Italy</t>
  </si>
  <si>
    <t>Consiglio Nazionale delle Ricerche (CNR); Istituto di Chimica Biomolecolare (ICB-CNR)</t>
  </si>
  <si>
    <t>Nicolaus, B (corresponding author), CNR, Inst Chim Biomol, Comprensorio Olivetti Isol 70,Via Campi Flegrei 3, I-80078 Naples, Italy.</t>
  </si>
  <si>
    <t>lama, licia/0000-0003-3312-204X</t>
  </si>
  <si>
    <t>BLACKWELL SCIENCE PUBL</t>
  </si>
  <si>
    <t>OSNEY MEAD, OXFORD OX2 0EL, ENGLAND</t>
  </si>
  <si>
    <t>0-632-05758-0</t>
  </si>
  <si>
    <t>10.1002/9780470696743.ch5</t>
  </si>
  <si>
    <t>BV16J</t>
  </si>
  <si>
    <t>WOS:000178037800005</t>
  </si>
  <si>
    <t>Janiyani, KL; Ray, MK</t>
  </si>
  <si>
    <t>Cloning, sequencing, and expression of the cold-inducible hutU gene from the antarctic psychrotrophic bacterium Pseudomonas syringae</t>
  </si>
  <si>
    <t>HISTIDINE UTILIZATION GENES; PROTEIN SECONDARY STRUCTURE; LOW-TEMPERATURE; GLUTAMATE-DEHYDROGENASE; KLEBSIELLA-AEROGENES; ESCHERICHIA-COLI; NUCLEOTIDE-SEQUENCE; RNA-POLYMERASE; PUTIDA; UROCANASE</t>
  </si>
  <si>
    <t>A promoter-fusion study with a Tn5-based promoter probe vector had earlier found that the hutU gene which encodes the enzyme urocanase for the histidine utilization pathway is upregulated at a lower temperature (4degreesC) in the Antarctic psychrotrophic bacterium Pseudomonas syringae. To examine the characteristics of the urocanase gene and its promoter elements from the psychrotroph, the complete hutU and its upstream region from P. syringae were cloned, sequenced, and analyzed in the present study. Northern blot and primer extension analyses suggested that the hutU gene is inducible upon a downshift of temperature (22 to 4degreesC) and that there is more than one transcription initiation site. One of the initiation sites was specific to the cells grown at 4degreesC, which was different from the common initiation sites observed at both 4 and 22degreesC. Although no typical promoter consensus sequences were observed in the flanking region of the transcription initiation sites, there was a characteristic CAAAA sequence at the -10 position of the promoters. Additionally, the location of the transcription and translation initiation sites suggested that the hutU mRNA contains a long 5'-untranslated region, a characteristic feature of many cold-inducible genes of mesophilic bacteria. A comparison of deduced amino acid sequences of urocanase from various bacteria, including the mesophilic and psychrotrophic Pseudomonas spp., suggests that there is a high degree of similarity between the enzymes. The enzyme sequence contains a signature motif (GXGX(2)GX(10)G) of the Rossmann fold for dinucleotide (NAD(+)) binding and two conserved cysteine residues in and around the active site. The psychrotrophic enzyme, however, has an extended N-terminal end.</t>
  </si>
  <si>
    <t>Ctr Cellular &amp; Mol Biol, Hyderabad 500007, Andhra Pradesh, India</t>
  </si>
  <si>
    <t>Council of Scientific &amp; Industrial Research (CSIR) - India; CSIR - Centre for Cellular &amp; Molecular Biology (CCMB)</t>
  </si>
  <si>
    <t>Ray, MK (corresponding author), Ctr Cellular &amp; Mol Biol, Uppal Rd, Hyderabad 500007, Andhra Pradesh, India.</t>
  </si>
  <si>
    <t>10.1128/AEM.68.1.1-10.2002</t>
  </si>
  <si>
    <t>508JM</t>
  </si>
  <si>
    <t>WOS:000173085000001</t>
  </si>
  <si>
    <t>Béjà, O; Koonin, EV; Aravind, L; Taylor, LT; Seitz, H; Stein, JL; Bensen, DC; Feldman, RA; Swanson, RV; DeLong, EF</t>
  </si>
  <si>
    <t>Comparative genomic analysis of archaeal genotypic variants in a single population and in two different oceanic provinces</t>
  </si>
  <si>
    <t>MARINE PLANKTONIC ARCHAEA; IN-SITU HYBRIDIZATION; CENARCHAEUM-SYMBIOSUM; VERTICAL-DISTRIBUTION; DIVERSITY; SEQUENCES; BACTERIAL; PROTEINS; EUKARYOTES; IDENTIFICATION</t>
  </si>
  <si>
    <t>Planktonic crenarchaeotes are present in high abundance in Antarctic winter surface waters, and they also make up a large proportion of total cell numbers throughout deep ocean waters. To better characterize these uncultivated marine crenarchaeotes, we analyzed large genome fragments from individuals recovered from a single Antarctic picoplankton population and compared them to those from a representative obtained from deeper waters of the temperate North Pacific. Sequencing and analysis of the entire DNA insert from one Antarctic marine archaeon (fosmid 74A4) revealed differences in genome structure and content between Antarctic surface water and temperate deepwater archaea. Analysis of the predicted gene products encoded by the 74A4 sequence and those derived from a temperate, deepwater planktonic crenarchaeote (fosmid 4137) revealed many typical archaeal proteins but also several proteins that so far have not been detected in archaea. The unique fraction of marine archaeal genes included, among others, those for a predicted RNA-binding protein of the bacterial cold shock family and a eukaryote-type Zn finger protein. Comparison of closely related archaea originating from a single population revealed significant genomic divergence that was not evident from 16S rRNA sequence variation. The data suggest that considerable functional diversity may exist within single populations of coexisting microbial strains, even those with identical 16S rRNA sequences. Our results also demonstrate that genomic approaches can provide high-resolution information relevant to microbial population genetics, ecology, and evolution, even for microbes that have not yet been cultivated.</t>
  </si>
  <si>
    <t>Monterey Bay Aquarium Res Inst, Moss Landing, CA 95039 USA; NIH, Natl Ctr Biotechnol Informat, Natl Lib Med, Bethesda, MD 20894 USA; Diversa Corp, San Diego, CA 92121 USA; Univ Calif Santa Barbara, Inst Marine Sci, Santa Barbara, CA 93106 USA</t>
  </si>
  <si>
    <t>Monterey Bay Aquarium Research Institute; National Institutes of Health (NIH) - USA; NIH National Library of Medicine (NLM); Verenium Corporation; University of California System; University of California Santa Barbara</t>
  </si>
  <si>
    <t>DeLong, EF (corresponding author), Monterey Bay Aquarium Res Inst, 7700 Sandholdt Rd,POB 628, Moss Landing, CA 95039 USA.</t>
  </si>
  <si>
    <t>Aravind, L/0000-0003-0771-253X; Swanson, Ronald/0000-0002-6486-2676</t>
  </si>
  <si>
    <t>10.1128/AEM.68.1.335-345.2002</t>
  </si>
  <si>
    <t>WOS:000173085000042</t>
  </si>
  <si>
    <t>Agnew, DJ</t>
  </si>
  <si>
    <t>Critical aspects of the Falkland Islands pelagic ecosystem: distribution, spawning and migration of pelagic animals in relation to oil exploration</t>
  </si>
  <si>
    <t>AQUATIC CONSERVATION-MARINE AND FRESHWATER ECOSYSTEMS</t>
  </si>
  <si>
    <t>Conference on the South West Atlantic Maraine Environment</t>
  </si>
  <si>
    <t>JUN 07-08, 2000</t>
  </si>
  <si>
    <t>ROYAL SOC LONDON, LONDON, ENGLAND</t>
  </si>
  <si>
    <t>ROYAL SOC LONDON</t>
  </si>
  <si>
    <t>Falkland Islands; macrozooplankton; fish larvae; spawning; oil exploration; pelagic ecosystem</t>
  </si>
  <si>
    <t>SQUID MARTIALIA-HYADESI; LOLIGO-GAHI CEPHALOPODA; SOUTH-WEST ATLANTIC; ILLEX-ARGENTINUS; ABUNDANCE; WINTER; OMMASTREPHIDAE; LOLIGINIDAE; FISHERY; STOCKS</t>
  </si>
  <si>
    <t>1. The oceanography and topography of the southern Patagonian shelf, with the strong Falkland current deriving from the Antarctic Circumpolar current moving northwards both west and cast of the Falkland Islands, creates an area of very high zooplankton productivity immediately to the north of the islands. 2. Information on the distribution, spawning times and larval distribution of the most important fish and squid species is reviewed in this paper. High densities of macroplanktonic euphausid and hyperiid amphipods, especially in the summer, attract and sustain squid stocks (the pelagic Illex argentinus and bentho-pelagic Loligo gahi) and pelagic fish (Micromesistius australis and Sprattus fuegensis). 3. There is an important spawning ground for three fish species having pelagic eggs and larvae (Micromesistius australis, Salilota. australis and Sprattus fuegensis) on the shelf break immediately to the south and southwest of the Islands. The shelf surrounding the islands, and west and south towards the Argentine coast, forms a nursery area for the larvae of these and a number of other fish and squid species. 4. Pollution emanating from the oil exploration tranches to the north of the islands or oil-based activities on the north shores of the Islands, although coincident with the area of high plankton productivity, would be unlikely to affect, in any major way the pelagic ecosystem around the Falkland Islands unless it became entrained in the area of slack water to the north of East Falkland. However, water flows from the Special Co-operation Area over critical spawning areas for a number of fished species (red cod, southern blue whiting and L. gahi) and has the potential to affect not only these but the Falkland shelf waters which act as a nursery area for many marine species. Copyright (C) 2002 John Wiley Sons, Ltd.</t>
  </si>
  <si>
    <t>Univ London Imperial Coll Sci Technol &amp; Med, Royal Sch Mines, Renewable Resources Assessment Grp, London SW7 2BP, England</t>
  </si>
  <si>
    <t>Imperial College London</t>
  </si>
  <si>
    <t>Agnew, DJ (corresponding author), Univ London Imperial Coll Sci Technol &amp; Med, Royal Sch Mines, Renewable Resources Assessment Grp, Prince Consort Rd, London SW7 2BP, England.</t>
  </si>
  <si>
    <t>1052-7613</t>
  </si>
  <si>
    <t>AQUAT CONSERV</t>
  </si>
  <si>
    <t>Aquat. Conserv.-Mar. Freshw. Ecosyst.</t>
  </si>
  <si>
    <t>JAN-FEB</t>
  </si>
  <si>
    <t>10.1002/aqc.474</t>
  </si>
  <si>
    <t>Environmental Sciences; Marine &amp; Freshwater Biology; Water Resources</t>
  </si>
  <si>
    <t>Environmental Sciences &amp; Ecology; Marine &amp; Freshwater Biology; Water Resources</t>
  </si>
  <si>
    <t>545NY</t>
  </si>
  <si>
    <t>WOS:000175225000007</t>
  </si>
  <si>
    <t>Clausen, AP; Pütz, K</t>
  </si>
  <si>
    <t>Recent trends in diet composition and productivity of gentoo, magellanic and rockhopper penguins in the Falkland Islands</t>
  </si>
  <si>
    <t>diet; penguin; Falkland Islands; productivity</t>
  </si>
  <si>
    <t>SPHENISCUS-MAGELLANICUS; PYGOSCELIS-PAPUA; ECOLOGY</t>
  </si>
  <si>
    <t>1. Over the past 14 years, data on diet composition and productivity of gentoo penguins (Pygoseelis papua), magellanic penguins (Spheniscus magellanicus) and rockhopper penguins (Eudyptes c.chrysocome) breeding in the Falkland Islands have been compiled as part of the Falkland Island Seabird Monitoring Programme. This paper comprises a summary of the data obtained so far, in particular concentrating on inter-annual and interspecific variation in productivity and general diet composition. 2. Productivity of all three penguin species has improved or remained stable over the last few years, The highest average productivity of 0.95 (ranging from 0.41 to 1.51) chicks fledged per breeding pair was observed in gentoo penguins. Productivity of rockhopper penguins during the same period was on average 0.80 (ranging from 0.63 to 0.91), and the lowest productivity of 0.78 (ranging from 0.19 to 1.49) was observed in magellanic penguins. 3. During the breeding season, ail three penguin species preyed opportunistically on a mixture of fish, squid and crustaceans, with the general diet composition showing a high degree of spatial and temporal variation. The diet of all three penguin species overlapped with the commercial fishery for Patagonian squid Loligo gahi. There may also be some competition for Patagonian toothfish (Dissostichus eleginoides), hake (Merluccius sp.) and southern blue whiting (Micromesistius australis), because the juveniles of these commercially exploited species were regularly found in the penguin diet. Copyright (C) 2002 John Wiley Sons, Ltd.</t>
  </si>
  <si>
    <t>Falklands Conservat, Stanley, Falkland Isl, England; Antarctic Res Trust, Stanley, Falkland Isl, England</t>
  </si>
  <si>
    <t>Falklands Conservat, POB 26, Stanley, Falkland Isl, England.</t>
  </si>
  <si>
    <t>pentag@horizon.co.fk</t>
  </si>
  <si>
    <t>Puetz, Klemens/0000-0003-1375-2669</t>
  </si>
  <si>
    <t>1099-0755</t>
  </si>
  <si>
    <t>10.1002/aqc.476</t>
  </si>
  <si>
    <t>WOS:000175225000008</t>
  </si>
  <si>
    <t>Pütz, K; Ingham, RJ; Smith, JG</t>
  </si>
  <si>
    <t>Foraging movements of magellanic penguins Spheniscus magellanicus during the breeding season in the Falkland Islands</t>
  </si>
  <si>
    <t>Falkland Islands; foraging behaviour; migration patterns; travelling speed; activity; satellite telemetry</t>
  </si>
  <si>
    <t>ARGENTINA; ATTACHMENT; MIGRATION</t>
  </si>
  <si>
    <t>1. During the breeding season 1998/99 the foraging movements of magellanic penguins breeding at Seal Bay to the northeast of the Falkland Islands were tracked using satellite transmitters. 2. The penguins studied foraged for varying time periods of between I and over 67 days. Foraging trips generally followed a looping course and distance from the colony increased with the duration of the foraging trip, The area most frequented was to the northeast of the colony. 3. Typically, penguins travelled in an anti-clockwise direction, i.e, birds left the colony on an easterly course and returned from a westerly direction. This pattern may be linked to the main current surrounding the Falkland Islands. 4. Two birds headed further north and foraged over the Patagonian Shelf and along the continental slope up to 41degreesS. 5. Average daily activity of the birds ranged between 32 and 53%, with a tendency to be slightly higher during foraging trips of less than a week. 6. Average travelling speeds ranged between 2.2 and 6.6 km/h, being significantly higher in birds with foraging trips lasting more than a week. Maximum travelling speeds achieved were occasionally higher than 12 km/h, always achieved by birds foraging for more than 20 days, consequently moving further away from the colony and becoming associated with the prevailing currents. 7. The implications of the findings are discussed with respect to potential threats from human activities in the area, namely oil exploration and fisheries. Copyright (C) 2002 John Wiley Sons, Ltd.</t>
  </si>
  <si>
    <t>Antarctic Res Trust, Stanley, Falkland Isl, England; Falklands Conservat, Stanley, Falkland Isl, England</t>
  </si>
  <si>
    <t>Pütz, K (corresponding author), Gottfried Keller Str 13, D-53757 St Augustin, Germany.</t>
  </si>
  <si>
    <t>10.1002/aqc.478</t>
  </si>
  <si>
    <t>WOS:000175225000010</t>
  </si>
  <si>
    <t>Huin, N</t>
  </si>
  <si>
    <t>Foraging distribution of the Black-browed Albatross, Thalassarche melanophris, breeding in the Falkland Islands</t>
  </si>
  <si>
    <t>black-browed albatross; foraging distribution; Patagonian Shelf; Falkland islands; habitat; partitioning</t>
  </si>
  <si>
    <t>DIOMEDEA-MELANOPHRIS; FISHERIES; DISCARDS; TRAWLERS</t>
  </si>
  <si>
    <t>1. The overall foraging distribution of black-browed albatross from the Falkland Islands is described, based on data from two different stages of the breeding season and two separate breeding sites, each representing one of two main subdivisions of the overall breeding population in the Falkland Islands. 2. During the incubation period birds from the northern group travelled to the north of the Falkland Islands. During this period foraging trips were longest, both in terms of distance travelled and duration. Albatrosses foraged mainly over the Patagonian Shelf or along its edge. No birds visited areas to the south or south-east of their breeding colony. 3. During the post-guard period, foraging areas were much restricted; the main areas utilised by birds from the northern group were close to the north and north-west coast of the Falkland Islands with no travel to the south of the islands. In contrast, birds from the southern group, although displaying similar restriction of their foraging range, had a complementary distribution, remaining to the south and south-west of the Falkland Islands, with no forays to the north. This use of mutually exclusive foraging areas, may be part of a strategy to minimise intra-specific competition. 4. The overall pattern of foraging by Falkland Islands birds accords with recent studies of the species at South Georgia and Kerguelen Islands and confirms this species preference for foraging over shelf areas rather than over deeper waters as in Campbell Island. 5. Although further study is needed, mainly to determine the foraging ranges of albatrosses from the southern group during the incubation period, their restriction to the Patagonian Shelf brings black-browed albatross from the Falkland islands into contact with diverse and increasing fishing activities. The recent increase in longline fishing in this area is of particular concern. Copyright (C) 2002 John Wiley Sons, Ltd.</t>
  </si>
  <si>
    <t>Huin, N (corresponding author), British Antarctic Survey, NERC, Madingley Rd,High Cross, Cambridge CB3 0ET, England.</t>
  </si>
  <si>
    <t>10.1002/aqc.479</t>
  </si>
  <si>
    <t>WOS:000175225000011</t>
  </si>
  <si>
    <t>Croxall, JP; Wood, AG</t>
  </si>
  <si>
    <t>The importance of the Patagonian Shelf for top predator species breeding at South Georgia</t>
  </si>
  <si>
    <t>Patagonian Shelf; Falkland Islands; South Georgia; seabirds; seals; cetaceans; foraging ranges; satellite-tracking; habitat management</t>
  </si>
  <si>
    <t>SEALS ARCTOCEPHALUS-GAZELLA; PETRELS PROCELLARIA-AEQUINOCTIALIS; ALBATROSSES DIOMEDEA-EXULANS; BLACK-BROWED ALBATROSSES; SQUID ILLEX-ARGENTINUS; WANDERING ALBATROSSES; SATELLITE TRACKING; GIANT PETRELS; MAGELLANIC PENGUINS; FORAGING LOCATION</t>
  </si>
  <si>
    <t>1. The rich zooplankton, fish and squid resources on the Patagonian Shelf sustain substantial populations of largely resident seabirds and marine mammals, These habitats are also visited seasonally by similar species from elsewhere but few data exist on their status and origin. Recent studies, using satellite-tracking to determine foraging ranges and feeding areas of seabirds and am marine mammals breeding at South Georgia, have shown that several species make substantial use of the waters of the Patagonian Shelf. 2. Wandering albatrosses use shelf-edge areas year-round with direct observations of both sexes of almost all age classes, including, breeding, pre-breeding and non-breeding individuals. White-chinned petrels and female Northern and Southern giant petrels mainly visit during incubation and post-breeding, particularly to the Falklands Current (White-chinned petrels) and to upwelling areas around the southern shelf-break from the Burdwood Bank in the cast to Staten Island and Diego Ramirez in the west (giant petrels). Northern giant petrel males during incubation and Antarctic fur seals in winter reach inner shelf habitats in the northern sector. In contrast, South Georgia populations of black-browed and grey-headed albatrosses do not appear to use the Patagonian Shelf at any stage of their breeding cycle. 3. Although the use of the Patagonian Shelf by visiting species is now best documented for South Georgia species, recent observational data confirm that seabirds from Diego Ramirez, Tristan da Cunha and Gough visit the southern and northern sectors, during both breeding and non-breeding seasons respectively. Several Antarctic species (notably Antarctic fulmar and cape petrel) winter in the region as do at least two albatross species from New Zealand; other species (especially Wilson's storm petrels) use it as a staging ground on migration, as do several species of baleen whales and possibly other cetacean species. 4. Three of the seabird species which breed on the Patagonian Shelf are Globally Threatened; seven of the visiting species (and four baleen whale species) also have this status. The Patagonian Shelf is, therefore, not only of global importance for the diversity and abundance of its resident top predators but is just as critical for the survival of many visiting species, some of which are even more endangered. 5. Combining data from satellite-tracking with conventional mapping from direct observations offers the prospect of defining the foraging ranges (and the main feeding areas within these) of a range of key top predator species. Such data should be used, in conjunction with similar information of the distributions of fish, squid and zooplankton resources and of fishing effort, to identify critical marine habitats whose precautionary, multiple-use sustainable management will be vital to protect the interests of both commercial fishers and top predators. Copyright (C) 2002 John Wiley Sons, Ltd.</t>
  </si>
  <si>
    <t>j.croxall@bas.ac.uk</t>
  </si>
  <si>
    <t>10.1002/aqc.480</t>
  </si>
  <si>
    <t>WOS:000175225000012</t>
  </si>
  <si>
    <t>Integrated environment-prey-predator interactions off South Georgia: implications for management of fisheries</t>
  </si>
  <si>
    <t>integrated management; South Georgia; fisheries; krill; predation</t>
  </si>
  <si>
    <t>SEA-ICE EXTENT; ANTARCTIC KRILL; MARINE ECOSYSTEM; INTERANNUAL VARIABILITY; EUPHAUSIA-SUPERBA; SCOTIA SEA; POPULATION; RESPONSES; ABUNDANCE</t>
  </si>
  <si>
    <t>1. The oceanography of the South Georgia region is principally that of the Southern Ocean rather than the South Atlantic. A combination of factors, including advection, local bathymetry and high local productivity, leads to relatively large concentrations of krill (Euphausia superba) in the region and this is a food source for large populations of penguins and seals that breed at South Georgia. 2. A history of over-exploitation of the marine resources of the region has led to the development of ecosystem approaches to management. The current system for managing krill harvests includes precautionary features that account for interannual variability in krill populations and the food requirements of natural predators. However, in future, it may be possible to use information from the natural krill predators to set reasonable levels of krill exploitation. Copyright (C) 2002 John Wiley Sons, Ltd.</t>
  </si>
  <si>
    <t>Boyd, IL (corresponding author), Univ St Andrews, Gatty Marine Lab, Sea Mammal Res Unit, St Andrews KY16 0BP, Fife, Scotland.</t>
  </si>
  <si>
    <t>10.1002/aqc.481</t>
  </si>
  <si>
    <t>WOS:000175225000013</t>
  </si>
  <si>
    <t>Ingham, RJ; Summers, D</t>
  </si>
  <si>
    <t>Falkland Islands cruise ship tourism: an overview of the 1999-2000 season and the way forward</t>
  </si>
  <si>
    <t>tourism; cruise ships; visitor pressure; visitor management</t>
  </si>
  <si>
    <t>ADELIE PENGUINS; ANTARCTICA</t>
  </si>
  <si>
    <t>1. Falkland Islands' tourism is evolving at an increasing pace. A record number of passengers, 23 497, visited the Islands during the 1999-2000 season. This rise was due to an increase in both the Frequency of vessel visits and the average passenger capacity of vessels, with the number of luxury cruise ships of &gt;1000 passengers steadily increasing. The Falklands' industry is made up of three types of vessel: the expedition cruise vessels (ca. 100 200 passengers) larger cruise vessels (ca. 400 passengers), and the luxury cruise vessels (ca. 1000 passengers). 2. The cruise ship industry has seen a diversification within the market, with cruises now available to a wider audience thus increasing the need for new experiences and landing sites. A similar diversification is being seen within the Islands themselves as the capacity to take larger vessels at remote sites is being developed. Whilst the expedition cruise vessels visiting the Islands are operating to high environmental standards as members of the International Association of Antarctic Tour Operators (IAATO), vessels with 400+ passengers may not become members of IAATO, due to Article III of the organization's Bylaws which limits the number of passengers. These larger capacity vessels are therefore not subject to the same self-regulating guidelines. The implications of increasing passenger numbers in the islands are discussed with regard to pressures on both the wildlife and vegetation. 3. This study outlines the need for an island-wide approach and a legislative framework to ensure high standards of operation are adhered to within the Islands from all visiting vessels and that accurate information is provided to all visitors along with a suitable code of conduct. The collection, collation and analysis of visitor data to identify trends and implement appropriate management strategies, and further research into the potential impacts of tourism on wildlife in the Falklands are also recommended. Copyright (C) 2002 John Wiley Sons, Ltd.</t>
  </si>
  <si>
    <t>Falklands Conservat, Stanley, Falkland Isl, England</t>
  </si>
  <si>
    <t>Ingham, RJ (corresponding author), Falklands Conservat, POB 26, Stanley, Falkland Isl, England.</t>
  </si>
  <si>
    <t>Lohmann, Gui/E-8037-2010</t>
  </si>
  <si>
    <t>10.1002/aqc.484</t>
  </si>
  <si>
    <t>WOS:000175225000016</t>
  </si>
  <si>
    <t>Blank, O; Retamal, P; Abalos, P; Torres, D</t>
  </si>
  <si>
    <t>Detection of anti-brucella antibodies in Weddell seals (Leptonychotes weddellii) from cape Shirref, Antarctica</t>
  </si>
  <si>
    <t>ARCHIVOS DE MEDICINA VETERINARIA</t>
  </si>
  <si>
    <t>Spanish</t>
  </si>
  <si>
    <t>anti-brucella antibodies; phocidae; Weddell seal; Antarctica</t>
  </si>
  <si>
    <t>ANTIBRUCELLA ANTIBODIES; SPECIES INFECTION</t>
  </si>
  <si>
    <t>After the finding of anti-Brucella antibodies in samples of Antarctic fur seat (Arctocephalus gazella), the serological study on Antarctic Pinniped was continued in order to determine the presence of anti-Brucella antibodies in other species. Blood and extra vascular fluid samples were taken from 12 Weddell seals (Leptonychotes weddellii) at the Site of Special Scientific Interest (SSSI) Ndegrees 32 and CCAMLR* Ecosystem Monitoring Program (CEMP) site Ndegrees 2 Cape Shirreff and San Telmo Islets (62degrees 47' S; 60degrees 27'W), located on the Norwest coast Livingston Island (South Shetland Islands), Antarctica. The samples were tested by the conventional Rose Bengal test (RB) and two competitive enzymatic immunoassay: Compelisa(R) and c-ELISA. In five of the samples studied, anti-Brucella antibodies were detected and the enzyme linked immunosorbent assays were the most sensible tests. These results strongly suggest the presence of infections by bacteria of the genus Brucella in L. weddellii and point out the necessity of complementary studies to know the etiology and their epidemiology in this region of the world.</t>
  </si>
  <si>
    <t>Inst Antartico Chileno, Punta Arenas, Chile; Univ Chile, Fac Ciencias Vet &amp; Pecuarias, Santiago, Chile; Inst Antartico Chileno, Santiago, Chile</t>
  </si>
  <si>
    <t>Blank, O (corresponding author), Inst Antartico Chileno, Romulo Correa 375, Punta Arenas, Chile.</t>
  </si>
  <si>
    <t>Retamal, Patricio/G-3054-2013</t>
  </si>
  <si>
    <t>Retamal, Patricio/0000-0001-8597-9550</t>
  </si>
  <si>
    <t>UNIV AUSTRAL CHILE, FAC CIENCIAS VETERINARIAS</t>
  </si>
  <si>
    <t>VALDIVIA</t>
  </si>
  <si>
    <t>CASILLA 567, VALDIVIA, 00000, CHILE</t>
  </si>
  <si>
    <t>0301-732X</t>
  </si>
  <si>
    <t>0717-6201</t>
  </si>
  <si>
    <t>ARCH MED VET</t>
  </si>
  <si>
    <t>Arch. Med. Vet.</t>
  </si>
  <si>
    <t>10.4067/S0301-732X2002000100013</t>
  </si>
  <si>
    <t>Veterinary Sciences</t>
  </si>
  <si>
    <t>564MM</t>
  </si>
  <si>
    <t>Green Published, gold</t>
  </si>
  <si>
    <t>WOS:000176318200013</t>
  </si>
  <si>
    <t>Storey, J; Ashley, M; Burton, M</t>
  </si>
  <si>
    <t>Vernin, J; Benkhaldoun, Z; MunozTunon, C</t>
  </si>
  <si>
    <t>Antarctic site testing</t>
  </si>
  <si>
    <t>ASTRONOMICAL SITE EVALUATION IN THE VISIBLE AND RADIO RANGE</t>
  </si>
  <si>
    <t>Astronomical Society of the Pacific Conference Series</t>
  </si>
  <si>
    <t>Astronomical Site Evaluation in the Visible and Radio Range Workshop</t>
  </si>
  <si>
    <t>NOV 13-17, 2000</t>
  </si>
  <si>
    <t>MARRAKECH, MOROCCO</t>
  </si>
  <si>
    <t>SOUTH-POLE; SKY; INSTRUMENTS; TELESCOPE</t>
  </si>
  <si>
    <t>We review the results obtained to date by various groups site-testing on the Antarctic plateau. To further these studies, we have developed a suite of self-contained instruments for year-long site testing on the Antarctic plateau. These instruments include a UV/visible sky brightness and stellar spectrometer, a near-infrared sky-brightness monitor, and a mid-infrared sky brightness monitor. To these we have added a Remtech acoustic radar and a low-power version of the sub-millimeter tipper originally developed by NRAO and CMU. The complete suite of instruments operates within a total power of 50 watts. These instruments have operated at the South Pole as part of the Automated Astrophysical Site-Testing Observatory (AASTO). We have already shown that the infrared sky brightness at the Pole can be up to 100 times lower than at temperate sites, and further data are being acquired. The AASTO will soon be deployed to other, more remote sites on the Antarctic plateau.</t>
  </si>
  <si>
    <t>Storey, J (corresponding author), Univ New S Wales, Sch Phys, Sydney, NSW 2052, Australia.</t>
  </si>
  <si>
    <t>ASTRONOMICAL SOC PACIFIC</t>
  </si>
  <si>
    <t>SAN FRANCISCO</t>
  </si>
  <si>
    <t>390 ASHTON AVE, SAN FRANCISCO, CA 94112 USA</t>
  </si>
  <si>
    <t>1050-3390</t>
  </si>
  <si>
    <t>1-58381-106-0</t>
  </si>
  <si>
    <t>ASTR SOC P</t>
  </si>
  <si>
    <t>BV22Y</t>
  </si>
  <si>
    <t>WOS:000178271800063</t>
  </si>
  <si>
    <t>Masi, S; Ade, PAR; Bock, JJ; Boscaleri, A; de Bernardis, P; De Troia, G; Di Stefano, G; Hristov, VV; Iacoangeli, A; Jones, WC; Kisner, T; Lange, AE; Mauskopf, PD; Mac Tavish, C; Montroy, T; Netterfield, CB; Pascale, E; Piacentini, F; Pongetti, F; Romeo, G; Ruhl, JE; Torbet, E; Watt, J</t>
  </si>
  <si>
    <t>Cecchini, S; Cortiglioni, S; Sault, R; Sbarra, C</t>
  </si>
  <si>
    <t>B2K: the polarization-sensitive BOOMERanG experiment</t>
  </si>
  <si>
    <t>ASTROPHYSICAL POLARIZED BACKGROUNDS</t>
  </si>
  <si>
    <t>AIP CONFERENCE PROCEEDINGS</t>
  </si>
  <si>
    <t>Workshop on Astrophysical Polarized Backgrounds</t>
  </si>
  <si>
    <t>OCT 09-12, 2001</t>
  </si>
  <si>
    <t>BOLOGNA, ITALY</t>
  </si>
  <si>
    <t>MICROWAVE BACKGROUND-RADIATION; ANGULAR SCALES; ANISOTROPY; MAPS</t>
  </si>
  <si>
    <t>We describe the new BOOMERanG payload, which is being prepared for a new circum-antarctic flight, with the aim to detect the linear polarization of the Cosmic Microwave Background (CMB). In addition to polarization capabilities, obtained by means of special bolometers, the instrument has been improved in the attitude reconstruction system and in the calibration system.</t>
  </si>
  <si>
    <t>Univ Roma La Sapienza, Dipartimento Fis, I-00185 Rome, Italy</t>
  </si>
  <si>
    <t>Sapienza University Rome</t>
  </si>
  <si>
    <t>Masi, S (corresponding author), Univ Roma La Sapienza, Dipartimento Fis, Piazzale Aldo Moro 2, I-00185 Rome, Italy.</t>
  </si>
  <si>
    <t>Romeo, Giuseppe/AAG-7086-2019; Pascale, Enzo/A-3665-2012; Piacentini, Francesco/ABD-3434-2020; Ruhl, John/HHS-2212-2022; Piacentini, Francesco/E-7234-2010</t>
  </si>
  <si>
    <t>Romeo, Giuseppe/0000-0003-3239-6057; Pascale, Enzo/0000-0002-3242-8154; Ruhl, John/0000-0001-5875-4751; Piacentini, Francesco/0000-0002-5444-9327</t>
  </si>
  <si>
    <t>2 HUNTINGTON QUADRANGLE, STE 1NO1, MELVILLE, NY 11747-4501 USA</t>
  </si>
  <si>
    <t>0094-243X</t>
  </si>
  <si>
    <t>0-7354-0055-5</t>
  </si>
  <si>
    <t>AIP CONF PROC</t>
  </si>
  <si>
    <t>BU25W</t>
  </si>
  <si>
    <t>Green Accepted</t>
  </si>
  <si>
    <t>WOS:000175483200020</t>
  </si>
  <si>
    <t>Tveraa, T; Christensen, GN</t>
  </si>
  <si>
    <t>Body condition and parental decisions in the Snow Petrel (Pagodroma nivea)</t>
  </si>
  <si>
    <t>AUK</t>
  </si>
  <si>
    <t>ANTARCTIC PETREL; FORAGING TRIPS; THALASSOICA-ANTARCTICA; BLUE PETREL; INCUBATION ROUTINE; HALOBAENA-CAERULEA; PELAGIC SEABIRD; CHICK; MASS; LONG</t>
  </si>
  <si>
    <t>In Procollariiformes, parents guard the chick for some time after it has attained homeothermy. Such a strategy may have evolved to protect the chick from predation or inclement weather, but it is costly because only one parent can forage at a time. Therefore, the decision to leave the chick seems to be a trade-off between the chick's ability to care for itself, body condition of the parent present at the nest, and ability of the bird out foraging to return to the nest before its mate's body condition has degraded. We studied chick growth and survival together with number of days Snow Petrel (Pagodroma nivea) chicks were guarded before being left alone for the first time in relation to the parents body condition and ability to return to the nest in time. Parents in good body condition were more likely to produce a chick that survived the guard stage. They also guarded their chick for a longer period (range 2-8 days, (x) over bar = 4.5) and finally left it alone with a higher body mass than those in poor body condition. However, whether the foraging bird was able to return to the nest in time to relieve its mate was also strongly related to number of days the chick was guarded and its body mass. The chicks' survival from when they were left alone and until day 10 posthatch was positively related both to number of days they were guarded and their body condition (body mass corrected for age).</t>
  </si>
  <si>
    <t>Norwegian Inst Nat Res, NINA, Dept Arctic Ecol, Polar Environm Ctr, N-9296 Tromso, Norway</t>
  </si>
  <si>
    <t>Norwegian Institute Nature Research</t>
  </si>
  <si>
    <t>Tveraa, T (corresponding author), Norwegian Inst Nat Res, NINA, Dept Arctic Ecol, Polar Environm Ctr, N-9296 Tromso, Norway.</t>
  </si>
  <si>
    <t>AMER ORNITHOLOGISTS UNION</t>
  </si>
  <si>
    <t>ORNITHOLOGICAL SOC NORTH AMER PO BOX 1897, LAWRENCE, KS 66044-8897 USA</t>
  </si>
  <si>
    <t>0004-8038</t>
  </si>
  <si>
    <t>10.1642/0004-8038(2002)119[0266:BCAPDI]2.0.CO;2</t>
  </si>
  <si>
    <t>528ZH</t>
  </si>
  <si>
    <t>WOS:000174275200028</t>
  </si>
  <si>
    <t>Rabouille, C</t>
  </si>
  <si>
    <t>INSTITUT OCEANOGRAPHIQUE; INSTITUT OCEANOGRAPHIQUE</t>
  </si>
  <si>
    <t>Fluxes at the sediment-water interface in the deep-sea</t>
  </si>
  <si>
    <t>BIOGEOCHIMIE MARINE</t>
  </si>
  <si>
    <t>Oceanis-Serie de Documents Oceanographiques</t>
  </si>
  <si>
    <t>French</t>
  </si>
  <si>
    <t>Seminar of the Oceanographic-Institute</t>
  </si>
  <si>
    <t>DEC 07, 2000</t>
  </si>
  <si>
    <t>PARIS, FRANCE</t>
  </si>
  <si>
    <t>sediment-water interface; sedimentary fluxes; early diagenesis; carbon cycle</t>
  </si>
  <si>
    <t>ISLAND SOUND SEDIMENTS; ORGANIC-MATTER MINERALIZATION; BACTERIAL SULFATE REDUCTION; DISSOLUTION KINETICS; CALCIUM-CARBONATE; EARLY DIAGENESIS; EQUATORIAL PACIFIC; OXYGEN-CONSUMPTION; CONTINENTAL-MARGIN; MARINE-SEDIMENTS</t>
  </si>
  <si>
    <t>Marine sediments from the deep ocean are determinant in biogeochemical cycles of major elements (C, N, P, Si) on a millenial or greater timescale. The dynamics of biogeochemical reactions in this reservoir are thus of prime importance for the understanding and quantification of the role of the ocean in the transitions during climatic cycles and geological times. The study of surficial sediments involves both field work and modelling. Using two examples, we show how models and data may interact to improve our understanding of surficial sediment dynamics. In the Antarctic Polar Front, a steady state approach provides a picture of the sediment organic matter as a multi-reactivity component and indicates a strong coupling between production and deposition. This is confirmed by the analysis of porewaters (O-2, NO3) and of the solid phase (C-org, Delta(14)C of the organic matter). In the North Atlantic, a non steady state study, using data and models, shows a damped response of the early diagenetic system to seasonal variations in the flux of particulate organic carbon. In contrast, interannual variations, possibly more intense, could prevail over the temporal changes of surficial sediment composition.</t>
  </si>
  <si>
    <t>CEA, CNRS, UMR, Lab Sci Climat &amp; Environm, F-91198 Gif Sur Yvette, France</t>
  </si>
  <si>
    <t>CEA; Centre National de la Recherche Scientifique (CNRS); Universite Paris Saclay</t>
  </si>
  <si>
    <t>Rabouille, C (corresponding author), CEA, CNRS, UMR, Lab Sci Climat &amp; Environm, F-91198 Gif Sur Yvette, France.</t>
  </si>
  <si>
    <t>christophe.rabouille@lsce.cnrs-gif.fr</t>
  </si>
  <si>
    <t>RABOUILLE, Christophe/M-8806-2013</t>
  </si>
  <si>
    <t>RABOUILLE, Christophe/0000-0003-1211-717X</t>
  </si>
  <si>
    <t>INST OCEANOGRAPHIQUE</t>
  </si>
  <si>
    <t>PARIS</t>
  </si>
  <si>
    <t>195 RUE SAINT-JACQUES, 75005 PARIS, FRANCE</t>
  </si>
  <si>
    <t>0182-0745</t>
  </si>
  <si>
    <t>OCEANIS-SER DOC</t>
  </si>
  <si>
    <t>Oceanis</t>
  </si>
  <si>
    <t>BX11L</t>
  </si>
  <si>
    <t>WOS:000184321900008</t>
  </si>
  <si>
    <t>D'Amico, S; Gerday, C; Feller, G</t>
  </si>
  <si>
    <t>Structural determinants of cold adaptation and stability in a psychrophilic α-amylase</t>
  </si>
  <si>
    <t>1st Symposium on the Alpha-Amylase Family</t>
  </si>
  <si>
    <t>SEP 30-OCT 04, 2001</t>
  </si>
  <si>
    <t>SMOLENICE CASTLE, SLOVAKIA</t>
  </si>
  <si>
    <t>extremophiles; protein engineering; microcalorimetry</t>
  </si>
  <si>
    <t>ALTEROMONAS-HALOPLANCTIS; CONFORMATIONAL FLEXIBILITY; PROTEINS; DEHYDROGENASE; DENATURATION; ENVIRONMENTS; INHIBITOR; DYNAMICS; FISHES</t>
  </si>
  <si>
    <t>The heat-labile alpha-amylase from an Antarctic bacterium is the largest known protein that unfolds reversibly according to a two-state transition, as shown by differential scanning calorimetry. Mutants of this enzyme were produced, carrying intended additional weak interactions of a type found in thermostable alpha-amylases. It is shown that single amino acid side chain substitutions can significantly modify the melting point T-m, the calorimetric enthalpy DeltaH(cal), the cooperativity and reversibility of unfolding, the thermal inactivation rate constant, and the kinetic parameters k(cat) and K-m. Although all mutations were located far from the active site, their overall trend is to decrease both k(cat) and K-m, probably by making the molecule more rigid, but this protects mutants against thermal inactivation.</t>
  </si>
  <si>
    <t>Univ Liege, Inst Chem B6, Biochem Lab, B-4000 Cointe Ougree, Belgium</t>
  </si>
  <si>
    <t>University of Liege</t>
  </si>
  <si>
    <t>Feller, G (corresponding author), Univ Liege, Inst Chem B6, Biochem Lab, B-4000 Cointe Ougree, Belgium.</t>
  </si>
  <si>
    <t>gfeller@ulg.ac.be</t>
  </si>
  <si>
    <t>635HY</t>
  </si>
  <si>
    <t>WOS:000180394500025</t>
  </si>
  <si>
    <t>Tsvetkova, NM; Phillips, BL; Krishnan, VV; Feeney, RE; Fink, WH; Crowe, JH; Risbud, SH; Tablin, F; Yeh, Y</t>
  </si>
  <si>
    <t>Dynamics of antifreeze glycoproteins in the presence of ice</t>
  </si>
  <si>
    <t>POINT-DEPRESSING GLYCOPROTEINS; PROTEIN SECONDARY STRUCTURE; INFRARED-SPECTRA; POLAR FISH; GROWTH-INHIBITION; ANTARCTIC FISH; CONFORMATION; ADSORPTION; WATER; GLYCOPEPTIDES</t>
  </si>
  <si>
    <t>Antifreeze glycoproteins from the Greenland cod Boreogadus saida were dimethylated at the N-terminus (m*AFGP) and their dynamics and conformational properties were studied in the presence of ice using C-13-NMR and FTIR spectroscopy. C-13-NMR experiments of m*AFGP in D2O, in H2O, and of freeze-dried m*AFGP were performed as a function of temperature. Dynamic parameters (H-1 T-1rho and T-CH) obtained by varying the contact time revealed notable differences in the motional properties of AFGP between the different states. AFGP/ice dynamics was dominated by fast-scale motions (nanosecond to picosecond time scale), suggesting that the relaxation is markedly affected by the protein hydration. The data suggest that AFGP adopts a similar type of three-dimensional fold both in the presence of ice and in the freeze-dried state. FTIR studies of the amide I band did not show a single prevailing secondary structure in the frozen state. The high number of conformers suggests a high flexibility, and possibly reflects the necessity to expose more ice-binding groups. The data suggest that the effect of hydration on the local mobility of AFGP and the lack of significant change in the backbone conformation in the frozen state may play a role in inhibiting the ice crystal growth.</t>
  </si>
  <si>
    <t>Univ Calif Davis, Sect Mol &amp; Cellular Biol, Davis, CA 95616 USA; Univ Calif Davis, Dept Chem Engn &amp; Mat Sci, Davis, CA 95616 USA; Univ Calif Davis, Dept Food Sci &amp; Technol, Davis, CA 95616 USA; Univ Calif Davis, Dept Chem, Davis, CA 95616 USA; Univ Calif Davis, Dept Anat, Davis, CA 95616 USA; Univ Calif Davis, Dept Physiol &amp; Cell Biol, Davis, CA 95616 USA; Univ Calif Davis, Dept Appl Sci, Davis, CA 95616 USA; Lawrence Livermore Natl Lab, Biol &amp; Biotechnol Res Program, Livermore, CA 94551 USA</t>
  </si>
  <si>
    <t>University of California System; University of California Davis; University of California System; University of California Davis; University of California System; University of California Davis; University of California System; University of California Davis; University of California System; University of California Davis; University of California System; University of California Davis; University of California System; University of California Davis; United States Department of Energy (DOE); Lawrence Livermore National Laboratory</t>
  </si>
  <si>
    <t>Univ Calif Davis, Sect Mol &amp; Cellular Biol, Davis, CA 95616 USA.</t>
  </si>
  <si>
    <t>nmtsvetkova@ucdavis.edu</t>
  </si>
  <si>
    <t>Krishnan, Krish/A-6859-2010</t>
  </si>
  <si>
    <t>Phillips, Brian/0000-0002-9256-7500</t>
  </si>
  <si>
    <t>NHLBI NIH HHS [R01HL57810-01, HL61204] Funding Source: Medline</t>
  </si>
  <si>
    <t>NHLBI NIH HHS(United States Department of Health &amp; Human ServicesNational Institutes of Health (NIH) - USANIH National Heart Lung &amp; Blood Institute (NHLBI))</t>
  </si>
  <si>
    <t>CELL PRESS</t>
  </si>
  <si>
    <t>50 HAMPSHIRE ST, FLOOR 5, CAMBRIDGE, MA 02139 USA</t>
  </si>
  <si>
    <t>1542-0086</t>
  </si>
  <si>
    <t>10.1016/S0006-3495(02)75411-8</t>
  </si>
  <si>
    <t>511DZ</t>
  </si>
  <si>
    <t>WOS:000173250500044</t>
  </si>
  <si>
    <t>Nelson, MM; Phleger, CF; Nichols, PD</t>
  </si>
  <si>
    <t>Seasonal lipid composition in macroalgae of the northeastern pacific ocean</t>
  </si>
  <si>
    <t>FATTY-ACID COMPOSITION; HALIOTIS-IRIS MARTYN; BROWN-ALGAE; MACROCYSTIS-PYRIFERA; MARINE MACROALGAE; NEW-ZEALAND; ABALONE; SEA; NUTRITION; STEROLS</t>
  </si>
  <si>
    <t>The lipid classes and fatty acid profiles of macrophytic algae from the Phaeophyta (Egregia menziesii), Rhodophyta (Chondracanthus canaliculatus) and Chlorophyta (Ulva lobata) were determined. Ulva lobata contained the highest amounts of lipids (20-29 mg g(-1) dry mass), followed by Egregia menziesii (9-16 mg) and Chondracanthus canaliculatus (2-3 mg), with increased lipids in winter and spring. This was reflected in total fatty acid content (14-24, 6-13 and 1-2 mg g(-1) dry mass, respectively). Major lipid classes were polar lipids (44-94 % of total lipids) and sterols (3-8 %). Higher levels of triacylglycerols occurred in Egregia menziesii during spring (22 %) and in Ulva lobata during summer (12 %). Free fatty acids were also variable (0-26 %). Triacylglycerols were not detected in Chondracanthus canaliculatus. Low levels of wax esters and diacylglyceryl ethers were detected in Ulva lobata (0.1 %). The major fatty acid common to all species was 16:0. Egregia menziesii and Chondracanthus canaliculatus contained 14:0, 18:1(n-9), 20:4(n-6) and 20:5(n-3) as major components. Egregia menziesii and Ulva lobata also contained 18:2(n-6), 18:3(n-3) and 18:4(n-3), and Chondracanthus canaliculatus and Ulva lobata contained 18: 1 (n-7). Large amounts Of C-16 polyunsaturated fatty acids and the presence of 22:0 and C-22 polyunsaturated fatty acids were unique to U lobata. Knowledge gained regarding macroalgal lipid composition may prove useful in raising mariculture species.</t>
  </si>
  <si>
    <t>San Diego State Univ, Dept Biol, San Diego, CA 92182 USA; Univ Tasmania, Dept Zool, Hobart, Tas 7001, Australia; CSIRO Marine Res, Hobart, Tas 7001, Australia; Antarctic CRC, Hobart, Tas 7001, Australia</t>
  </si>
  <si>
    <t>Nelson, MM (corresponding author), San Diego State Univ, Dept Biol, San Diego, CA 92182 USA.</t>
  </si>
  <si>
    <t>WALTER DE GRUYTER &amp; CO</t>
  </si>
  <si>
    <t>10.1515/BOT.2002.007</t>
  </si>
  <si>
    <t>528PY</t>
  </si>
  <si>
    <t>WOS:000174253200007</t>
  </si>
  <si>
    <t>Stecher, J; Türkay, M; Borowski, C</t>
  </si>
  <si>
    <t>Faunal assemblages on the Pacific-Antarctic Ridge near the Foundation Seamount Chain (37°30′ S, 110°30′ W)</t>
  </si>
  <si>
    <t>CAHIERS DE BIOLOGIE MARINE</t>
  </si>
  <si>
    <t>2nd International Symposium on Deep-Sea Hydrothermal Vent Biology</t>
  </si>
  <si>
    <t>OCT 08-12, 2001</t>
  </si>
  <si>
    <t>BREST, FRANCE</t>
  </si>
  <si>
    <t>DEEP-SEA VENTS; HOTSPOT INTERACTION; RISE; BIOLOGY; CREST</t>
  </si>
  <si>
    <t>Forschungsinst Senckenberg, D-60325 Frankfurt, Germany; Univ Hamburg, Zool Inst &amp; Museum, D-20146 Hamburg, Germany</t>
  </si>
  <si>
    <t>Senckenberg Gesellschaft fur Naturforschung (SGN); University of Hamburg</t>
  </si>
  <si>
    <t>Stecher, J (corresponding author), Forschungsinst Senckenberg, Senckenberganlage 25, D-60325 Frankfurt, Germany.</t>
  </si>
  <si>
    <t>ROSCOFF</t>
  </si>
  <si>
    <t>STATION BIOLOGIQUE PLACE GEORGES TEISSIER, 29680 ROSCOFF, FRANCE</t>
  </si>
  <si>
    <t>0007-9723</t>
  </si>
  <si>
    <t>CAH BIOL MAR</t>
  </si>
  <si>
    <t>Cah. Biol. Mar.</t>
  </si>
  <si>
    <t>627NB</t>
  </si>
  <si>
    <t>WOS:000179938200012</t>
  </si>
  <si>
    <t>Adatte, T; Keller, G; Burns, S; Stoykova, KH; Ivanov, MI; Vangelov, D; Kramar, U; Stüben, D</t>
  </si>
  <si>
    <t>Koeberl, C; MacLeod, KG</t>
  </si>
  <si>
    <t>Paleoenvironment across the Cretaceous-Tertiary transition in eastern Bulgaria</t>
  </si>
  <si>
    <t>CATASTROPHIC EVENTS AND MASS EXTINCTIONS: IMPACTS AND BEYOND</t>
  </si>
  <si>
    <t>Geological Society of America Special Papers</t>
  </si>
  <si>
    <t>International Interdisciplinary Conference on Catastrophic Events and Mass Extinctions - Impacts and Beyond</t>
  </si>
  <si>
    <t>JUL 09-12, 2000</t>
  </si>
  <si>
    <t>UNIV VIENNA, VIENNA, AUSTRIA</t>
  </si>
  <si>
    <t>UNIV VIENNA</t>
  </si>
  <si>
    <t>EL-KEF; PLANKTIC FORAMINIFERA; BOUNDARY TRANSITION; ANTARCTIC OCEAN; ENVIRONMENTAL-CHANGES; GLOBAL IMPLICATIONS; STABLE ISOTOPE; STEVNS-KLINT; SURVIVORSHIP; PRODUCTIVITY</t>
  </si>
  <si>
    <t>The Cretaceous-Tertiary (K-T) transition in eastern Bulgaria (Bjala) was analyzed in terms of lithology, mineralogy, stable isotopes, trace elements, and planktic foraminifera. The sequence represents a boreal-Tethyan transitional setting, spans from the last 300 k.y. of the Maastrichtian (zone CF1) through the early Danian (zones PO-Plc), and contains several short hiatuses. It differs from low-latitude Tethyan sequences primarily by lower diversity assemblages, pre-K-T faunal changes, a reduced K-T delta(13)C shift, and the presence of two clay layers with platinum group element anomalies. The first clay layer marks the K-T boundary impact event, as indicated by an iridium anomaly (6.1 ppb), the mass extinction of tropical and subtropical planktic foraminifera, and cooling. The second clay layer is stratigraphically within the upper Parvularugoglobigerina eugubina (Pla) zone and contains a small Ir enrichment (0.22 ppb), a major Pd enrichment (1.34 ppb), and anomalies in Ru (0.30 ppb) and Rh (0.13 ppb) that suggest a volcanic source.</t>
  </si>
  <si>
    <t>Univ Massachusetts, Morril Sci Ctr 233, Dept Geosci, Amherst, MA 01003 USA</t>
  </si>
  <si>
    <t>University of Massachusetts System; University of Massachusetts Amherst</t>
  </si>
  <si>
    <t>Univ Massachusetts, Morril Sci Ctr 233, Dept Geosci, Amherst, MA 01003 USA.</t>
  </si>
  <si>
    <t>thierry.adatte@geo.unine</t>
  </si>
  <si>
    <t>Vangelov, DIan/AAL-3849-2021; Stoykova, Kristalina/N-3303-2014</t>
  </si>
  <si>
    <t>Stoykova, Kristalina/0000-0002-4353-0859</t>
  </si>
  <si>
    <t>GEOLOGICAL SOC AMER INC</t>
  </si>
  <si>
    <t>3300 PENROSE PL, PO BOX 9140, BOULDER, CO 80301 USA</t>
  </si>
  <si>
    <t>0072-1077</t>
  </si>
  <si>
    <t>0-8137-2356-6</t>
  </si>
  <si>
    <t>GEOL SOC AM SPEC PAP</t>
  </si>
  <si>
    <t>Geochemistry &amp; Geophysics; Geology</t>
  </si>
  <si>
    <t>BV31N</t>
  </si>
  <si>
    <t>WOS:000178575200017</t>
  </si>
  <si>
    <t>Williams, R; Tuck, GN; Constable, AJ; Lamb, T</t>
  </si>
  <si>
    <t>Movement, growth and available abundance to the fishery of Dissostichus eleginoides Smitt,1898 at Heard Island, derived from tagging experiments</t>
  </si>
  <si>
    <t>CCAMLR SCIENCE</t>
  </si>
  <si>
    <t>Dissostichus eleginoides; Heard Island; tagging; movement; growth; available biomass; CCAMLR</t>
  </si>
  <si>
    <t>TOOTHFISH; MARKERS</t>
  </si>
  <si>
    <t>Stocks of Patagonian toothfish (Dissostichus eleginoides) in different sectors of the Southern Ocean are considered to be genetically distinct. However, in the Indian Ocean, it is largely unknown whether stocks are separate between shelves and banks separated by deep water. More particularly, the separation of stocks on the Kerguelen Plateau has not been investigated. This paper examines the assumptions of stock separation using tagged fish from the fishery around Heard Island and McDonald Islands (HIMI) in the Australian Exclusive Economic Zone (EEZ). Movement, growth and trends in fish abundance are examined using these data. The bulk of the data show that fish disperse only a very short distance, up to 15 n miles in most cases, from their point of release. This may be explained in part because of the concentration of fishing in the established grounds, which makes recaptures more likely in the same place as marking. The concentration of effort should also result in a high probability of detecting fish movements between grounds, if they occur, but so far no such movement has been detected. It appears that fish tend to be locally resident during their phase in the depth range of the fishing grounds, but they move on once they approach maturity at about 850 mm total length and become unavailable to the fishery. Four fish have been recorded as moving a long distance, and thus provide contradictory evidence. Three fish moved from ground B of HIMI to Crozet and were all within the size range normally found in the Heard Island fishing grounds, and so appear to be behaving differently from those fish that follow the normal pattern of residency in the grounds. One fish has been recorded as moving from ground A to Kerguelen and was at the upper end of the size range normally found on the grounds. These four long-range movers provide the first documented direct evidence of toothfish moving such distances and of fish moving from one fishery to another. The significance of this is discussed. Trends in abundance of fish show that the number of fish in ground B and in the population as a whole has been reduced since 1998. The implications of these results are discussed. The overall results show that mark-recapture experiments provide important information for the management of toothfish stocks and that trends in abundance derived from these experiments might be useful adjuncts to the assessment process in the future.</t>
  </si>
  <si>
    <t>Australian Antarctic Div, Kingston, Tas 7050, Australia; CSIRO, Marine Labs, Hobart, Tas 7000, Australia</t>
  </si>
  <si>
    <t>Australian Antarctic Division; Commonwealth Scientific &amp; Industrial Research Organisation (CSIRO)</t>
  </si>
  <si>
    <t>dick_wil@antdiv.gov.au</t>
  </si>
  <si>
    <t>Tuck, Geoffrey N/E-2356-2012</t>
  </si>
  <si>
    <t>C C A M L R TI</t>
  </si>
  <si>
    <t>NORTH HOBART</t>
  </si>
  <si>
    <t>PO BOX 213, NORTH HOBART, TAS 7002, AUSTRALIA</t>
  </si>
  <si>
    <t>1023-4063</t>
  </si>
  <si>
    <t>CCAMLR SCI</t>
  </si>
  <si>
    <t>CCAMLR Sci.</t>
  </si>
  <si>
    <t>618VT</t>
  </si>
  <si>
    <t>WOS:000179438500004</t>
  </si>
  <si>
    <t>Brierley, AS; Goss, C; Grant, SA; Watkins, JL; Reid, K; Belchier, M; Everson, I; Jessop, MJ; Afanasyev, V; Robst, J</t>
  </si>
  <si>
    <t>Significant intra-annual variability in krill distribution and abundance at South Georgia revealed by multiple acoustic surveys during 2000/01</t>
  </si>
  <si>
    <t>acoustic survey; variability; Antarctic krill; abundance; South Georgia; CCAMLR</t>
  </si>
  <si>
    <t>SEALS ARCTOCEPHALUS-GAZELLA; SUB-ANTARCTIC ISLAND; EUPHAUSIA-SUPERBA; FISH STOCKS; STRENGTH; SEASON</t>
  </si>
  <si>
    <t>Three separate acoustic surveys of Antarctic krill (Euphausia superba) were conducted around South Georgia in the 2000/01 season: in October 2000 (early-season); during late December/early January 2000/01 (mid-season), and in March 2001 (late-season). The surveys were the first in a newly planned five-year series of observations designed to complement and extend an existing time series regularly maintained by the British Antarctic Survey since 1996 (and on a more ad hoc basis since the early 1980s). We hoped that conducting several surveys in one season would provide information on short-term variability that could be used to set data from more restricted once-per-season 'snap-shot' cruises in a broader context. The early- and late-season surveys were associated with logistic support voyages to South Georgia and were restricted to four transects within a box to the northwest of South Georgia. The dedicated mid-season survey covered that box in more detail (twice as many transects) and, in addition, examined boxes to the north, northeast and southwest of the island. Together these surveys provided temporally and spatially extensive coverage around South Georgia. Krill density in the western box in the early-season survey was very low (3.5 g m(-2)) but rose significantly (P = 0.020) by mid-season (to 34.7 g m(-2)). In a pattern that is consistent with observations from previous years, krill density in the western box in the mid-season survey was less than that in the eastern box (80.4 g m(-2)). Analysis of transect data obtained in the western box in the mid-season survey revealed no significant difference in the mean krill density derived from only those four transects surveyed early- and late-season, or from the full eight transects. Our first occupation of a survey box off the central north coast of South Georgia in mid-season revealed a krill density of 47.2 g m(-2) that was intermediate between the eastern and western areas. The size structure of the krill in the central region also reflected a mix of those to the east (generally small) and west (generally large). Krill density to the southwest of South Georgia was 32.1 g m(-2) in mid-season. By March, krill density in the western survey area had fallen significantly (P = 0.037) from the mid-season high to 7.8 g m(-2). Our multiple surveys at South Georgia have revealed major intra-annual changes in krill density at the island and have shown that the timing of the acoustic survey can affect significantly the estimate of krill density. The multiple estimates of krill density will allow reproductive performance indices for top level predators to be compared to prey availability at more appropriate time-scales than previous single 'snap-shot' acoustic survey data have allowed. This is a crucial step in the elucidation of response functions of dependent species to changes in krill abundance, and could be a useful contribution to ecosystem management.</t>
  </si>
  <si>
    <t>Brierley, Andrew/G-8019-2011</t>
  </si>
  <si>
    <t>Brierley, Andrew/0000-0002-6438-6892</t>
  </si>
  <si>
    <t>WOS:000179438500006</t>
  </si>
  <si>
    <t>Jackowski, E</t>
  </si>
  <si>
    <t>Distribution and size of Antarctic krill (Euphausia superba Dana) in Polish commercial catches taken in the Atlantic sector of the Southern Ocean from 1997 to 1999</t>
  </si>
  <si>
    <t>krill; density; vertical migration; length; CCAMLR</t>
  </si>
  <si>
    <t>SWARMS; AGGREGATIONS</t>
  </si>
  <si>
    <t>The distribution and internal structure of commercial krill concentrations were investigated in the areas of the South Shetland, Elephant, South Georgia and South Orkney Islands in the spring and summer from 1997 to 1999. The density of concentrations varied with area and season. The densest concentrations were found near the South Shetlands. Concentrations at night were several times less dense than those observed during the day. Between February and April the density of concentrations increased, while in May and June it decreased. From February to June the period of daylight becomes progressively shorter, therefore it must be assumed that there are factors other than daylight which have an impact on the density of krill concentrations. The internal structure of concentrations was very diverse, and mean density varied from 11 to 31 370 specimens per 1000 m(3). At night, krill concentrations were scattered throughout the water column, however no clear evidence of vertical migrations was found. Between February and April concentrations occurred in much shallower waters at night than during the day, while in May and June they occurred at the same depths at night as during the day or sometimes even deeper. Between February and April concentrations during the day were found in shallower waters, while between April and June they were found in deeper waters. The size structure of the krill varied during all periods and in all areas, however krill size was observed to decrease as the season progressed.</t>
  </si>
  <si>
    <t>Sea Fisheries Res Inst, PL-81332 Gdynia, Poland</t>
  </si>
  <si>
    <t>Jackowski, E (corresponding author), Sea Fisheries Res Inst, Ul Kollataja 1, PL-81332 Gdynia, Poland.</t>
  </si>
  <si>
    <t>WOS:000179438500007</t>
  </si>
  <si>
    <t>Jarman, SN; Nicol, S</t>
  </si>
  <si>
    <t>Sources of variance in studies of krill population genetics</t>
  </si>
  <si>
    <t>krill; DNA; sample; genetics; population; CCAMLR</t>
  </si>
  <si>
    <t>EUPHAUSIA-SUPERBA DANA; CORAL-REEF FISH; ANTARCTIC KRILL; MEGANYCTIPHANES-NORVEGICA; ATLANTIC SECTOR; SOUTHERN-OCEAN; DNA; RECRUITMENT; PENINSULA; WATERS</t>
  </si>
  <si>
    <t>There has been a long-term interest in the population genetics of Antarctic krill species because of their ecological and economic importance. The possibility that there are distinct genetic stocks of these species would affect the design of management strategies for their conservation. A recent resurgence of interest in identifying distinct stocks of swarming krill species has been driven by the development of genetic technologies that are more sensitive to subtle population structure than older methods. Previous studies of the population genetics of the Antarctic species Euphausia crystallorophias and E. superba and the boreal species Meganyctiphanes norvegica that used allozymes found no evidence of genetic population structure. More recent investigations using sequence variation in mitochondrial DNA (mtDNA) have exposed genetic differentiation between samples taken from different parts of each species' range. However, the underlying assumption of these studies that differentiation between samples is caused primarily by restricted gene flow between widely separated sampling sites may be incorrect. Our recent study of E. crystallorophias mtDNA variation has indicated that there is significant genetic differentiation between samples taken within one region. This has important implications for the design of future studies of krill population genetics, which must be able to accommodate this sympatric variance component as well as variance attributable to differences between regions. Genetic differentiation between stocks of krill in different regions therefore can not be adequately assessed unless multiple samples are taken from each region.</t>
  </si>
  <si>
    <t>Jarman, SN (corresponding author), Australian Antarctic Div, Channel Highway, Kingston, Tas 7050, Australia.</t>
  </si>
  <si>
    <t>Jarman, Simon/H-9265-2016</t>
  </si>
  <si>
    <t>WOS:000179438500008</t>
  </si>
  <si>
    <t>Constable, AJ; Nicol, S</t>
  </si>
  <si>
    <t>Defining smaller-scale management units to further develop the ecosystem approach in managing large-scale pelagic krill fisheries in Antarctica</t>
  </si>
  <si>
    <t>ecosystem approach; krill fisheries; krill predators; management units; scales of units; conceptual model; CCAMLR</t>
  </si>
  <si>
    <t>This paper discusses the principles and approach required for developing small-scale management units to take account of predators' needs when managing the fishery for Antarctic krill. It provides a theoretical foundation for considering the scales of management units involving the integration of local populations of harvested species, foraging areas of predators, fishing grounds and the potential influences of the environment, including oceanography and metapopulation structure of the harvested species. The integration of these components involves two different types of unit: the 'harvesting unit', which is at the scale of the metapopulation of the harvested species, and the 'predator unit', which does not have to be a relatively self-contained ecosystem but should be sufficiently independent for fishing in that unit not to inadvertently affect predators being monitored in other units. The South Atlantic region (Area 48) is used to illustrate how to define predator units. The derived conceptual model is then used to formulate an approach for developing fisheries on prey species, notably krill, in other harvesting units. The manner in which predator units can be used to help the CCAMLR Ecosystem Monitoring Program (CEMP) provide strategic advice on the effects of fishing is discussed. In general, the early acquisition of information on the distribution of local populations of krill and the potential foraging densities of predators from within a harvesting unit (i.e. abundance of predators, distribution of colonies and foraging range) will provide a means of circumscribing predator units as well as undertaking an assessment of long-term annual yield. It is proposed that the early development of the fishery could be concentrated in a small number of units in such a way that the relative fishing intensities in those units are equivalent, although not necessarily equal, to the intensity expected across all units once the catch limit had been reached. Other units in which fishing was not occurring could be monitored as well. This process could help determine whether or not the catch limit is likely to cause undesirable effects on predators in any of the predator units. In this way, it is possible to determine, well in advance of the catch limit being reached, whether or not local restrictions on harvesting are necessary, as well as the overall requirements for the monitoring program.</t>
  </si>
  <si>
    <t>Constable, AJ (corresponding author), Australian Antarctic Div, Channel Highway, Kingston, Tas 7050, Australia.</t>
  </si>
  <si>
    <t>WOS:000179438500009</t>
  </si>
  <si>
    <t>Morley, S; Belchier, M</t>
  </si>
  <si>
    <t>Otolith and body size relationships in bigeye grenadier (Macrourus holotrachys) in CCAMLR subarea 48.3</t>
  </si>
  <si>
    <t>otolith size; fish length; by-catch; Macrourus holotrachys; Subarea 48.3; CCAMLR</t>
  </si>
  <si>
    <t>SEALS</t>
  </si>
  <si>
    <t>A large sample of otoliths from bigeye grenadier (Macrourus holotrachys) caught as by-catch in the Patagonian toothfish (Dissostichus eleginoides) fishery in Subarea 48.3 was measured and weighed, and the usefulness of otoliths as predictors of fish size was determined. Otolith mass provides good estimates of fish length, whereas otolith length and width measurements provide less accurate estimates of fish length. Seasonal variations in fish mass with reproductive condition need to be considered if predictions of fish mass from otolith mass are undertaken. Otolith size/fish size models should be derived for each fish population under investigation. The length of fish chosen in such studies should be representative of the size range consumed by predators.</t>
  </si>
  <si>
    <t>Morley, S (corresponding author), British Antarctic Survey, Madingley Rd, Cambridge CB3 0ET, England.</t>
  </si>
  <si>
    <t>WOS:000179438500010</t>
  </si>
  <si>
    <t>Kasatkina, SM; Malyshko, AP; Shnar, VN; Berezhinsky, OA</t>
  </si>
  <si>
    <t>Characteristics of krill aggregations in the South Sandwich Islands Subarea in January-February 2000</t>
  </si>
  <si>
    <t>Antarctic krill; aggregation characteristics; catch; CCAMLR</t>
  </si>
  <si>
    <t>ANTARCTIC KRILL; EUPHAUSIA-SUPERBA; SWARMS</t>
  </si>
  <si>
    <t>During the survey of Subarea 48.4 from 17 January to 1 February 2000 it was observed that krill was present in non-aggregated and scattered forms, as well as in swarms. Differences between spatial distribution patterns of different krill aggregation forms in relation to water mass structure and dynamics were revealed. Distributional features and physical characteristics of some 2 400 krill swarms detected in the study area were sized acoustically and are described in this paper. Results of comparisons of swarm parameters by area and season are given. The effect of spatial distribution patterns of krill aggregations on the horizontal and vertical distribution of krill biomass is shown. About 64% of the krill biomass was concentrated in krill swarms in the upper 80 m depth layer within meander and eddy zones of the Weddell Sea (14% of the study area). Spatial distribution patterns of krill aggregations and distribution of krill biomass density were analysed with a view to detecting potential fishing grounds where the recommended precautionary catch limit could be taken. Such fishing grounds could be located within the zones in which swarms were concentrated and where the biomass density was greater than 1.5 g m(-3). The biomass in these potential fishing grounds amounted to about 1.7 million tonnes. It was shown that the removal of biomass up to a recommended precautionary limit could be possible from such grounds despite a predicted low catch per hour of trawling.</t>
  </si>
  <si>
    <t>AtlantNIRO, Kaliningrad 236000, Russia</t>
  </si>
  <si>
    <t>Research lnstitute of Fisheries &amp; Oceanography</t>
  </si>
  <si>
    <t>Kasatkina, SM (corresponding author), AtlantNIRO, 5 Dmitry Donskoy St, Kaliningrad 236000, Russia.</t>
  </si>
  <si>
    <t>WOS:000179438500011</t>
  </si>
  <si>
    <t>Vanyushin, GP</t>
  </si>
  <si>
    <t>Sea-surface temperature and krill catches around South Georgia in December-February 1989-1991 and 1999-2001</t>
  </si>
  <si>
    <t>sea-surface temperature (SST); satellite monitoring; SST anomaly sign; krill catch; Subarea 48.3; CCAMLR</t>
  </si>
  <si>
    <t>Monitoring of sea-surface temperatures (SSTs) in Subarea 48.3, which includes satellite surveys with GOES-E, Meteosat and in situ monitoring, together with further analysis of SST maps, provides continuous information on hydrological conditions in the area. Analyses of the data at the beginning of each summer season could enable us to evaluate the potential for conducting a krill fishery in the area during the entire year. The reliability of these forecasts could be appraised by comparing them with krill catches obtained under various hydrological conditions. In comparison with the early 1990s, the period from December to February in the late 1990s and early 2000s showed a considerable decrease in mean SST off South Georgia. This observation is especially obvious for the northern shelf waters where the mean SST dropped from 3.96 degreesC in 1990/91 to 2.05 degreesC in 2000/01. During that period, the SST anomaly sign changed from positive to negative: on average, the December-February anomaly was up to +0.71 degreesC in 1990/91, whereas it was -1.2degreesC in 2000/01 (for the 1999/2000 season the SST anomaly was -0.62 degreesC). The observed cooling of South Georgia waters had a negative effect on fishing activities in the area. The total catch of krill was 81 369 tonnes in 1989/90 and 123 562 tonnes in 1990/91. However, it dropped to 39 766 tonnes in 2000/01. The SST maps for 1999-2001 showed a prominent advection of Weddell Sea waters to the northwest of South Georgia and a weakening of the Antarctic Circumpolar Current (ACC) influence. Under these hydrological conditions, krill that drifted along with Weddell Sea waters failed to form stable concentrations on the shelf and was transported instead further out to open sea.</t>
  </si>
  <si>
    <t>VNIRO, Moscow 107140, Russia</t>
  </si>
  <si>
    <t>Vanyushin, GP (corresponding author), VNIRO, 17A V Krasnoselskaya, Moscow 107140, Russia.</t>
  </si>
  <si>
    <t>WOS:000179438500012</t>
  </si>
  <si>
    <t>Miller, DGM</t>
  </si>
  <si>
    <t>Antarctic krill and ecosystem management - From Seattle to Siena</t>
  </si>
  <si>
    <t>Antarctic krill management; ecosystem approach; CCAMLR</t>
  </si>
  <si>
    <t>MARINE LIVING RESOURCES; EUPHAUSIA-SUPERBA; SEA-ICE; EXPLOITATION; RECRUITMENT; FISHERIES</t>
  </si>
  <si>
    <t>This paper outlines CCAMLR's development of a management approach for the Antarctic krill (Euphausia superba) fishery and associated ecosystem component between 1984 and 1995. The approach is shown to be consistent with the objectives of the CAMLR Convention, particularly its Article II. Emphasis is given to the initiation of the CCAMLR Ecosystem Monitoring Program (CEMP) and the deliberations of the Working Group on Krill (WG-Krill). Particular prominence is also attached to the modelling approach developed in order to calculate a precautionary catch limit for the krill fishery in various CCAMLR statistical areas. This paper complements those of Constable (2002 - this volume) and Everson (2002 - this volume), with the three papers documenting developments during CCAMLR's first 20 years of existence.</t>
  </si>
  <si>
    <t>Marine &amp; Coastal Management, ZA-8012 Cape Town, South Africa</t>
  </si>
  <si>
    <t>CCAMLR, POB 213, N Hobart, Tas 7002, Australia.</t>
  </si>
  <si>
    <t>denzil@ccamlr.org</t>
  </si>
  <si>
    <t>WOS:000179438500014</t>
  </si>
  <si>
    <t>Everson, I</t>
  </si>
  <si>
    <t>Consideration of major issues in ecosystem monitoring and management</t>
  </si>
  <si>
    <t>ecosystem approach; fisheries management; ecosystem monitoring program; harvested and dependent species; CCAMLR</t>
  </si>
  <si>
    <t>ICEFISH CHAMPSOCEPHALUS-GUNNARI; MACKEREL ICEFISH; SOUTH GEORGIA; LEVEL</t>
  </si>
  <si>
    <t>This paper outlines the requirements of an ecosystem approach to the management of Southern Ocean resources and highlights the need for information on harvested and dependent species, their interactions and the manner in which their populations vary naturally. Large-scale interactions are catered for in the Krill Yield Model (KYM). Smaller-scale interactions centre around three main categories: the availability of krill, variation in vital rates of the dependent species and the overlap between commercial fishing and predator foraging. The CCAMLR Ecosystem Monitoring Program (CEMP) provides a good framework within which to investigate krill availability. Vital rates can be investigated directly and also by means of CEMP The overlap between fishing and predator foraging is being monitored. A mechanism for bringing these various components together as an ecosystem approach to management is discussed.</t>
  </si>
  <si>
    <t>NERC, British Antarctic Survey, Cambridge CB3 0ET, England</t>
  </si>
  <si>
    <t>Everson, I (corresponding author), NERC, British Antarctic Survey, Madingley Rd, Cambridge CB3 0ET, England.</t>
  </si>
  <si>
    <t>iev@pcmail.nerc-bas.ac.uk</t>
  </si>
  <si>
    <t>WOS:000179438500015</t>
  </si>
  <si>
    <t>Constable, AJ</t>
  </si>
  <si>
    <t>CCAMLR ecosystem monitoring and management: Future work</t>
  </si>
  <si>
    <t>ecosystem-based management; management procedures; fisheries conservation; CCAMLR</t>
  </si>
  <si>
    <t>MANAGING FISHERIES; MARINE ECOSYSTEM; LIVING RESOURCES; FUR SEALS; CONSERVATION; PREDATORS; IMPLEMENTATION; IMPROVEMENT; PRINCIPLES; PROGRAM</t>
  </si>
  <si>
    <t>Harvesting of marine living resources in the Southern Ocean is managed by the Commission for the Conservation of Antarctic Marine Living Resources (CCAMLR). CCAMLR is widely known for its ecosystem approach to managing fisheries with the maintenance of ecological relationships included in the conservation objectives. In the late 1980s, CCAMLR's precautionary approach was developed, incorporating principles of how to use scientific evidence in the decision-making process. Even though this approach was based on the management of a single species (Antarctic krill, Euphausia superba), it takes account of the needs of predators in the assessment of catch limits. The success of this process is due to the formulation of a management procedure which includes decision rules that specify how harvest controls will be adjusted based on the scientific information available and the assessments that arise from such information. To assist the Commission in meeting its objectives, the CCAMLR Ecosystem Monitoring Program (CEMP) was set up to detect the effects of fishing on krill predators. CCAMLR needs to adopt a management procedure which has a good chance of maintaining ecological relationships and meeting the needs of predators, incorporating: (i) operational objectives that articulate the target conditions of relevant aspects of the system, (ii) methods for assessing the status of the system, (iii) decision rules on how to adjust harvest controls given the difference between the assessment and the agreed objectives, and (iv) methods for dealing with uncertainty. This paper reviews progress in developing ecosystem-based management procedures by summarising the gaps in the existing approach, the types of models developed for the Antarctic marine ecosystem, the implications of the large scale of the fishery for designing a monitoring program to detect the effects of fishing, and the types of procedures already proposed for management of the krill fishery. It highlights the need to focus future work in these areas, including the need to evaluate candidate management procedures in advance of the expansion of the krill fishery. Most importantly, operational objectives for dependent species and feasible management options need to be clearly articulated to guide this work.</t>
  </si>
  <si>
    <t>WOS:000179438500016</t>
  </si>
  <si>
    <t>Rapley, C</t>
  </si>
  <si>
    <t>Steffen, W; Jager, J; Carson, DJ; Bradshaw, C</t>
  </si>
  <si>
    <t>Simulating and observing the Earth System: Summary</t>
  </si>
  <si>
    <t>CHALLENGES OF A CHANGING EARTH</t>
  </si>
  <si>
    <t>GLOBAL CHANGE - THE IGBP SERIES</t>
  </si>
  <si>
    <t>Global Change Open Science Conference</t>
  </si>
  <si>
    <t>JUL 10-13, 2001</t>
  </si>
  <si>
    <t>AMSTERDAM, NETHERLANDS</t>
  </si>
  <si>
    <t>Rapley, C (corresponding author), British Antarctic Survey, High Cross,Madingley Rd, Cambridge CB3 0ET, England.</t>
  </si>
  <si>
    <t>SPRINGER-VERLAG BERLIN</t>
  </si>
  <si>
    <t>HEIDELBERGER PLATZ 3, D-14197 BERLIN, GERMANY</t>
  </si>
  <si>
    <t>1619-2435</t>
  </si>
  <si>
    <t>3-540-43308-2</t>
  </si>
  <si>
    <t>GLO CH IGBP</t>
  </si>
  <si>
    <t>BV71E</t>
  </si>
  <si>
    <t>WOS:000179874000028</t>
  </si>
  <si>
    <t>Vaughan, DG; Spouge, JR</t>
  </si>
  <si>
    <t>Risk estimation of collapse of the West Antarctic Ice Sheet</t>
  </si>
  <si>
    <t>SEA-LEVEL RISE; MASS-BALANCE; PLEISTOCENE COLLAPSE; STABILITY; SHELF; EVOLUTION; GREENLAND; RATES; OCEAN</t>
  </si>
  <si>
    <t>Complete collapse of the West Antarctic Ice Sheet (WAIS) would raise global sea level by around 5 m, but whether collapse is likely, or even possible, has been `glaciology's grand unsolved problem' for more than two decades. Collapse of WAIS may result from readjustments continuing since the last glacial maximum, or more recent climate change, but it is also possible that collapse will result from internal flow instabilities, or not occur at all in the present inter-glacial. Such complexity led the Intergovernmental Panel on Climate Change to conclude in its Second Assessment Report that `estimating the likelihood of a collapse during the next century is not yet possible'. However, a refusal by scientists to estimate the risk leaves policy-makers with no sound scientific basis on which to respond to legitimate public concerns. Here we present a discussion of the likelihood of WAIS-collapse, drawing input from an interdisciplinary panel of experts. The results help to summarise the state of scientific knowledge and uncertainty. While the overall opinion of the panel was that WAIS most likely will not collapse in the next few centuries, their uncertainty retains a 5% probability of WAIS causing sea level rise at least 10 mm/year within 200 years. Since this uncertainty reflects both the unpredictability of the physical system and the scientific uncertainty, it will undoubtedly change as a better understanding is established.</t>
  </si>
  <si>
    <t>British Antarctic Survey, Cambridge CB3 0ET, England; Norske Veritas, London SE1 9DE, England</t>
  </si>
  <si>
    <t>Vaughan, DG (corresponding author), British Antarctic Survey, Madingley Rd, Cambridge CB3 0ET, England.</t>
  </si>
  <si>
    <t>Vaughan, David/C-8348-2011</t>
  </si>
  <si>
    <t>Vaughan, David/0000-0002-9065-0570</t>
  </si>
  <si>
    <t>10.1023/A:1013038920600</t>
  </si>
  <si>
    <t>497HA</t>
  </si>
  <si>
    <t>WOS:000172448300005</t>
  </si>
  <si>
    <t>Bluhm, BA; Beyer, K; Niehoff, B</t>
  </si>
  <si>
    <t>Brain structure and histological features of lipofuscin in two Antarctic caridea (decapoda)</t>
  </si>
  <si>
    <t>CRUSTACEANA</t>
  </si>
  <si>
    <t>LOBSTER HOMARUS-GAMMARUS; AGE-PIGMENT LIPOFUSCIN; EASTERN WEDDELL SEA; AUTOFLUORESCENT PIGMENT; CRUSTACEA; CRAYFISH; GROWTH; NEUROGENESIS; ACCUMULATION; PRODUCTIVITY</t>
  </si>
  <si>
    <t>The general brain morphology as well as the distribution and some histological features of in situ lipofuscin were investigated in brains of the Antarctic caridean decapods, Notocrangon antarctica and Chorismus antarcticus using light, confocal fluorescence, and transmission electron microscopy. The brain structure proved similar to that of other caridean shrimps in that it is close to the original decapod brain ground plan (prominent antenna 11 neuropil, subdivided large lateral antenna I neuropil, no accessory lobe), although a second cluster of globuli cells, characteristic for Pleocyemata, is associated with the olfactory lobe. In resin sections, autofluorescent lipofuscin granules were mainly found in the posterior olfactory lobe soma clusters, but they also occurred in other clusters and to a small extent in neuropils. Electron micrographs showed granules to be composed of a highly electron dense granular matrix, which enclosed membrane remnants of variable electron density. Vesicles interpreted to be lipofuscin in different stages of development were observed in the cytoplasm, whereas many mature granules seemed to be protracting from the cytoplasm into the plasma membranes. Staining of resin sections with Sudan Black was positive. The histological findings widely agree with results from studies on crustaceans as well as on vertebrates, and were very similar between the two species studied here.</t>
  </si>
  <si>
    <t>Univ Alaska Fairbanks, Inst Marine Sci, Sch Fisheries &amp; Ocean Sci, POB 757220, Fairbanks, AK 99775 USA.</t>
  </si>
  <si>
    <t>bluhm@ims.uaf.edu; kbeyer@awi-bremerhaven.de; bniehoff@awi-bremerhaven.de</t>
  </si>
  <si>
    <t>Bluhm, Bodil/E-7165-2015</t>
  </si>
  <si>
    <t>Bluhm, Bodil/0000-0002-4584-7796</t>
  </si>
  <si>
    <t>BRILL ACADEMIC PUBLISHERS</t>
  </si>
  <si>
    <t>LEIDEN</t>
  </si>
  <si>
    <t>PLANTIJNSTRAAT 2, P O BOX 9000, 2300 PA LEIDEN, NETHERLANDS</t>
  </si>
  <si>
    <t>0011-216X</t>
  </si>
  <si>
    <t>1568-5403</t>
  </si>
  <si>
    <t>Crustaceana</t>
  </si>
  <si>
    <t>10.1163/156854002317373528</t>
  </si>
  <si>
    <t>563MF</t>
  </si>
  <si>
    <t>WOS:000176258900005</t>
  </si>
  <si>
    <t>Wharton, DA; Goodall, G; Marshall, CJ</t>
  </si>
  <si>
    <t>Freezing rate affects the survival of a short-term freezing stress in Panagrolaimus davidi, an antarctic nematode that survives intracellular freezing</t>
  </si>
  <si>
    <t>CRYOLETTERS</t>
  </si>
  <si>
    <t>freeze tolerance; cooling rate; freezing rate; exotherm duration; intracellular freezing</t>
  </si>
  <si>
    <t>TISSUE ICE FORMATION; EUROSTA-SOLIDAGINIS; COLD-ACCLIMATION; COOLING RATE; TOLERANCE; TEMPERATURE; HARDINESS; DIPTERA; LARVAE; INSECT</t>
  </si>
  <si>
    <t>The ability of the Antarctic nematode Panagrolaimus davidi to survive a short-term freezing stress depended upon the rate of freezing of its surroundings, measured as the duration of the sample exotherm. The freezing rate increased as the sample volume and freezing temperature decreased and resulted in fewer nematodes surviving. This appears to be due to the greater risk of physical damage by ice crystal growth at high freezing rates. Once frozen the nematodes will then survive exposure to lower temperatures. The environment of the nematode is likely to produce the slow rate of freezing of its surroundings that is necessary for its survival.</t>
  </si>
  <si>
    <t>Univ Otago, Dept Zool, Dunedin, New Zealand; Univ Otago, Dept Biochem, Dunedin, New Zealand</t>
  </si>
  <si>
    <t>Wharton, DA (corresponding author), Univ Otago, Dept Zool, POB 56, Dunedin, New Zealand.</t>
  </si>
  <si>
    <t>Marshall, Craig J./C-6668-2009</t>
  </si>
  <si>
    <t>Marshall, Craig J./0000-0003-4186-0368; Wharton, David/0000-0001-6369-4984</t>
  </si>
  <si>
    <t>CRYO LETTERS</t>
  </si>
  <si>
    <t>C/O ROYAL VETERINARY COLLEGE, ROYAL COLLEGE ST, LONDON NW1 0TU, ENGLAND</t>
  </si>
  <si>
    <t>0143-2044</t>
  </si>
  <si>
    <t>CryoLetters</t>
  </si>
  <si>
    <t>538CQ</t>
  </si>
  <si>
    <t>WOS:000174796800002</t>
  </si>
  <si>
    <t>Rhode, W</t>
  </si>
  <si>
    <t>KlapdorKleingrothaus, HV; Viollier, RD</t>
  </si>
  <si>
    <t>Atmospheric neutrinos, WIMPs and monopoles: Physics with the AMANDA neutrino telescope</t>
  </si>
  <si>
    <t>DARK MATTER IN ASTRO- AND PARTICLE PHYSICS</t>
  </si>
  <si>
    <t>4th International Conference on Dark Matter in Astro- and Particle Physics (DARK 2002)</t>
  </si>
  <si>
    <t>FEB 04-09, 2002</t>
  </si>
  <si>
    <t>CAPE TOWN, SOUTH AFRICA</t>
  </si>
  <si>
    <t>AMANDA is a neutrino telescope located at the geographical South Pole. It is constructed of 677 optical modules dominantly located between 1500 m and 2000 in deep in the antarctic ice sheet at 19 strings. This contribution summarizes the status of the experiment and physical results with emphasis to atmospheric neutrinos, WIMPs and magnetic monopoles obtained by the analysis of data taken 1997 with 302 optical modules on the first 10 strings of AMANDA-B. The analysis of the atmospheric neutrinos detected, shows that the measured flux is well understood. The agreement of the. detected flux in angular dependence, spatial distribution and light deposition is used to set limits on the flux from point sources and on the isotropic flux. Also limits on the WIMP annihilation rate and on the monopole flux axe given.</t>
  </si>
  <si>
    <t>Berg Univ Wuppertal, Fachbereich Phys 8, D-42097 Wuppertal, Germany</t>
  </si>
  <si>
    <t>University of Wuppertal</t>
  </si>
  <si>
    <t>Rhode, W (corresponding author), Berg Univ Wuppertal, Fachbereich Phys 8, D-42097 Wuppertal, Germany.</t>
  </si>
  <si>
    <t>rhode@uni-wuppertal.de</t>
  </si>
  <si>
    <t>Rhode, Wolfgang/0000-0003-2636-5000</t>
  </si>
  <si>
    <t>3-540-44257-X</t>
  </si>
  <si>
    <t>BW59A</t>
  </si>
  <si>
    <t>WOS:000182527600050</t>
  </si>
  <si>
    <t>Bianchi, AA; Piola, AR; Collino, GJ</t>
  </si>
  <si>
    <t>Evidence of double diffusion in the Brazil-Malvinas Confluence</t>
  </si>
  <si>
    <t>double diffusion; salt finger; mixing; Brazil/Malvinas Confluence; southwestern Atlantic</t>
  </si>
  <si>
    <t>SALT FINGERS; FLUX MEASUREMENTS; SOUTH-ATLANTIC; INTERFACE; WATER; STABILITY</t>
  </si>
  <si>
    <t>Observation of thermohaline staircases and low-density ratios in the Brazil-Malvinas Confluence (BMC) suggests salt-fingering activity between the high salinity South Atlantic Central Water and low salinity Antarctic Intermediate Water. Vertical salt-finger induced salt fluxes are estimated in the BMC using a model for fastest growing fingers. Maximum salt-finger fluxes of 39.9 x 10(-10) W kg(-1) (5.3 x 10(-7) m s(-1)) were estimated, similar to existing estimates in a Mediterranean salt lens embedded within the North Atlantic water. The fluxes normalized by the large-scale property gradients lead to fairly large estimates of diapycnal haline and thermal diffusivities, of up to 0.74 x 10(-4) and 0.34 x 10(-4) m(2) s(-1), respectively, showing the enhancement of the haline diffusivity due to salt fingers. Estimated diffusive-convection fluxes based on flux laws derived from laboratory experiments are two orders of magnitude larger than salt-finger fluxes. These results suggest that, where cross-front interleaving leads to layering of relatively cold-fresh water over warm-salty water, diffusive upward convection dominates the vertical property fluxes in the frontal region. It appears that on the warm-salty side of the BMC, away from the narrow band dominated by interleaving, salt-finger integrated vertical fluxes nearly balance the cross-front lateral integrated fluxes. The effect of baroclinicity on the vertical property fluxes was evaluated and it was found that, in the BMC, the baroclinicity enhances the interleaving. (C) 2001 Elsevier Science Ltd. All rights reserved.</t>
  </si>
  <si>
    <t>Serv Hidrog Naval, Dept Oceanog, RA-1271 Buenos Aires, DF, Argentina; Univ Buenos Aires, FCEYN, Dept Cs Atmosfera &amp; Oceanos, RA-1428 Buenos Aires, DF, Argentina</t>
  </si>
  <si>
    <t>Servicio de Hidrografia Naval; University of Buenos Aires</t>
  </si>
  <si>
    <t>Bianchi, AA (corresponding author), Serv Hidrog Naval, Dept Oceanog, Av Montes Oca 2124, RA-1271 Buenos Aires, DF, Argentina.</t>
  </si>
  <si>
    <t>Piola, Alberto/HZI-5475-2023; Piola, Alberto/O-2280-2013</t>
  </si>
  <si>
    <t>Piola, Alberto/0000-0002-5003-8926</t>
  </si>
  <si>
    <t>10.1016/S0967-0637(01)00039-5</t>
  </si>
  <si>
    <t>506CY</t>
  </si>
  <si>
    <t>WOS:000172953400003</t>
  </si>
  <si>
    <t>Friedrich, J; van der Loeff, MMR</t>
  </si>
  <si>
    <t>A two-tracer (210Po-234Th) approach to distinguish organic carbon and biogenic silica export flux in the Antarctic Circumpolar Current</t>
  </si>
  <si>
    <t>radionuclides; tracers; organic carbon; biogenic silica; export; Antarctic Circumpolar Current</t>
  </si>
  <si>
    <t>AUSTRAL SPRING 1992; SOUTHERN-OCEAN; ATLANTIC SECTOR; WATER MASSES; PHYTOPLANKTON BIOMASS; PARTICULATE MATTER; GRAZING IMPACT; SURFACE WATERS; NORTH-ATLANTIC; RV POLARSTERN</t>
  </si>
  <si>
    <t>We attempt to quantify and qualify the particle export from the surface water of the Antarctic Circumpolar Current during a spring phytoplankton bloom by the simultaneous use of the tracers Po-210 and Th-234. We present data from the Southern Ocean JGOFS expedition in 1992 at about 6 degreesW, from the marginal ice zone to the Polar Frontal region. Radionuclide export was calculated with a one-dimensional non-steady-state scavenging model. Rapidly changing activities of Pb-210 and Po-234 during the phytoplankton bloom and the application of the tracer pair Po-210/Pb-210 with particle-reactive parent and daughter required a new solution to the non-steady-state scavenging model. The observed fractionation of Po-210 and Th-234 on particles, dependent on particle composition (POC/biogenic silica ratio), corroborates the known preference of Po-210 for cytoplasm. A combination of these two tracers can help to characterize the nature (i.e. organic carbon and biogenic silica content) of the material settling out of the mixed layer, and thus to arrive at a more detailed interpretation of export fluxes than is possible with Th-234 alone. In the Polar Front region, where diatoms are dominant in the phytoplankton and where the highest export rates were observed, we find a preferential settling of biogenic silica when heavily silicified diatom species occur. In contrast, POC and biogenic silica are exported with comparable efficiency when diatom species with thinner frustules prevail. The export of biogenic opal and carbon is then closely coupled. In the southern Antarctic Circumpolar Current (sACC), where siliceous organisms are not dominant in the plankton, we find a preferential settling of siliceous material over POC. (C) 2001 Elsevier Science Ltd. All rights reserved.</t>
  </si>
  <si>
    <t>Geoforschungszentrum Potsdam, PB 5-1, D-14473 Potsdam, Germany.</t>
  </si>
  <si>
    <t>janaf@gfz-potsdam.de</t>
  </si>
  <si>
    <t>Friedrich, Jana/AAG-4840-2021</t>
  </si>
  <si>
    <t>10.1016/S0967-0637(01)00045-0</t>
  </si>
  <si>
    <t>WOS:000172953400007</t>
  </si>
  <si>
    <t>Anadón, R; Estrada, M</t>
  </si>
  <si>
    <t>The FRUELA cruises.: A carbon flux study in productive areas of the Antarctic Peninsula (December 1995-February 1996)</t>
  </si>
  <si>
    <t>DEEP-SEA RESEARCH PART II-TOPICAL STUDIES IN OCEANOGRAPHY</t>
  </si>
  <si>
    <t>WESTERN BRANSFIELD STRAIT; AUSTRAL SUMMER; GERLACHE STRAITS; SOUTHERN-OCEAN; NUTRIENT UTILIZATION; REGION ANTARCTICA; PARTICLE-FLUX; WATER MASSES; PHYTOPLANKTON; RATES</t>
  </si>
  <si>
    <t>The FRUELA (name of an 8th century king of Asturias) project, part of the Spanish contribution to the study of biogeochemical carbon fluxes in the Southern Ocean, was based on two consecutive cruises of the B.I.O.; Hesperides which took place in the Bransfield and Gerlache Straits and Belligshausen Sea between early December and early February of Austral summer 1995-1996. In addition to the cruises, data were obtained from an array of sediment traps deployed for one year in the Western Bransfield Strait Basin. The basic objectives of FRUELA were the quantification of carbon standing stocks and fluxes through the main components of the biological pump and the determination of carbon fluxes across different water column boundaries, including the transfer of CO2 between the atmosphere and the ocean, the export of particulate carbon (PC) out of the euphotic zone, the vertical flux of PC in deep waters and the accumulation of carbon in sediments. The main hydrographical features found in the study region were the Southern Boundary of the Antarctic Circumpolar Current (SbyACC) and the Bransfield Front. Three major zones, with contrasting physico-chemical and biological characteristics were considered: Bellingshausen, including the Northwest Bellingshausen Sea and comprising the SbyACC, Bransfield, including the Western Bransfield Strait and the northeastern part of the Gerlache Strait, and Gerlache, with the rest of the Gerlache Strait. This paper summarizes the distribution of different properties and rate processes in these zones and discusses the major findings of the cruise concerning carbon fluxes, Our results indicate that, during the summer period, the studied area could be considered as a sink for atmospheric carbon, The amount of PC exported out of the photic layer was a moderate fraction of primary production and a low fraction of the suspended PC; high chlorophyll a systems dominated by microphytoplankton showed higher PC export fluxes than low chlorophyll a systems dominated by small flagellates and cryptomonads. The amount of PC arriving at deep waters or accumulating in the sediments was two to three orders of magnitude lower than that exported from the photic layer, probably due to biological recycling and advection out of the area. (C) 2001 Elsevier Science Ltd. All rights reserved.</t>
  </si>
  <si>
    <t>Univ Oviedo, Dept Biol Organismos &amp; Sistemas, E-33071 Oviedo, Spain; CSIC, Inst Ciencies Mar, E-08003 Barcelona, Spain</t>
  </si>
  <si>
    <t>University of Oviedo; Consejo Superior de Investigaciones Cientificas (CSIC); CSIC - Centro Mediterraneo de Investigaciones Marinas y Ambientales (CMIMA); CSIC - Instituto de Ciencias del Mar (ICM)</t>
  </si>
  <si>
    <t>ranadon@correo.uniovi.es</t>
  </si>
  <si>
    <t>Estrada, Marta/L-6207-2014</t>
  </si>
  <si>
    <t>Estrada, Marta/0000-0001-5769-9498</t>
  </si>
  <si>
    <t>0967-0645</t>
  </si>
  <si>
    <t>1879-0100</t>
  </si>
  <si>
    <t>DEEP-SEA RES PT II</t>
  </si>
  <si>
    <t>Deep-Sea Res. Part II-Top. Stud. Oceanogr.</t>
  </si>
  <si>
    <t>4-5</t>
  </si>
  <si>
    <t>10.1016/S0967-0645(01)00112-6</t>
  </si>
  <si>
    <t>507YB</t>
  </si>
  <si>
    <t>WOS:000173057900001</t>
  </si>
  <si>
    <t>Gomis, D; García, MA; López, O; Pascual, A</t>
  </si>
  <si>
    <t>Quasi-geostrophic 3D circulation and mass transport in the western Bransfield Strait during Austral summer 1995/96</t>
  </si>
  <si>
    <t>ANTARCTIC CIRCUMPOLAR CURRENT; OMEGA-EQUATION; DRAKE PASSAGE; FRONTS</t>
  </si>
  <si>
    <t>In the framework of the FRUELA carbon-flux study, two oceanographic surveys (December 1995 and January 1996) were conducted by B.I.O. Hesperides in the western basin of the Bransfield Strait and southern Drake Passage. The horizontal (geostrophic) velocity field is characterized by two jet-like features linked to frontal hydrographic structures: a meandering current off the continental shelf edge of the southern Drake Passage, corresponding to the Southern front of the Antarctic Circumpolar Current, and the Bransfield Current, related to the Bransfield front. The first jet shows some changes in the meandering pattern from December 1995 to January 1996, whereas the second has a very stationary location and structure. The estimated horizontal circulation and mass transports are compared with available current meter data and with previous geostrophic estimates in the context of a sensitivity analysis that takes into account the choice of the reference level and the station distribution. The vertical velocity field has been computed by integrating the quasi-geostrophic Omega equation, Maximum estimated values are of the order of I m/day, which suggests that a phytoplankton bloom observed in the northern part of the study area in December (and vanished one month later) should not be attributed to frontal dynamic instabilities inducing upward motion and nutricline-related lifting, but rather to other hydrographic factors (C) 2001 Published by Elsevier Science Ltd.</t>
  </si>
  <si>
    <t>UIB, CSIC, Inst Mediterrani Edtudis Avancats, Palma de Mallorca, Spain; Univ Politecn Catalunya, ETS Engn Camins Canalsi Ports, Lab Engn Maritima, Barcelona, Spain</t>
  </si>
  <si>
    <t>Universitat de les Illes Balears; Consejo Superior de Investigaciones Cientificas (CSIC); Universitat Politecnica de Catalunya</t>
  </si>
  <si>
    <t>Gomis, D (corresponding author), UIB, CSIC, Inst Mediterrani Edtudis Avancats, Palma de Mallorca, Spain.</t>
  </si>
  <si>
    <t>Pascual, Ananda/H-8214-2013</t>
  </si>
  <si>
    <t>Pascual, Ananda/0000-0001-9476-9272; Gomis, Damia/0000-0002-9732-0080</t>
  </si>
  <si>
    <t>10.1016/S0967-0645(01)00114-X</t>
  </si>
  <si>
    <t>WOS:000173057900003</t>
  </si>
  <si>
    <t>Castro, CG; Ríos, AF; Doval, MD; Pérez, FF</t>
  </si>
  <si>
    <t>Nutrient utilisation and chlorophyll distribution in the Atlantic sector of the Southern Ocean during Austral summer 1995-96</t>
  </si>
  <si>
    <t>WESTERN BRANSFIELD STRAIT; NET COMMUNITY PRODUCTION; MARGINAL ICE-ZONE; WEDDELL SEA; PARTICULATE MATTER; BELLINGSHAUSEN SEA; ANTARCTIC OCEANS; INDIAN SECTOR; ROSS SEA; PHYTOPLANKTON</t>
  </si>
  <si>
    <t>The chemical fields in the Eastern Bellingshausen Sea, Gerlache and Bransfield Straits were studied for nutrients, apparent oxygen utilisation (AOU) and total inorganic carbon (TIC) in the upper mixed layer of the water column during the FRUELA 95 (December 1995-January 1996) and FRUELA 96 (January-February 1996) cruises. In Bellingshausen Sea area, a strong silicic acid gradient clearly traced the Southern Boundary of the ACC front during the two cruises. In the Bransfield Strait, the lowest concentrations of nutrients, AOU and TIC (NO3 &lt; 28 mumol kg(-1), PO4 &lt; 2mumol kg(-1), Si(OH)(4) 8 &lt; 0 mumol kg(-1), AOU &lt; 10 mumol kg(-1), TIC &lt; 2170 mumol kg(-1)) corresponded to transition zonal water with Bellingshausen Sea influence. The southeastern part, which was dominated by transition zonal water with Weddell Sea influence, had the highest levels of these properties. In the Gerlache Strait, the chemical field was marked by low-salinity water in the southwestern extreme, which had low nutrient levels. Though the chemical field strongly reflected the thermohaline field, significant nutrient consumption was observed where there was high chlorophyll a and particulate organic matter. During the FRUELA 95 cruise, the highest nutrient consumption in the upper mixed layer was localised in the Gerlache Strait (DeltaNO(3) = 7 +/- 2mumol kg(-1), DeltaPO(4) = 0.5 +/- 0.1 mumol kg(-1), DeltaSi(OH)(4) = 6 +/- 3 mumol kg(-1), DeltaAOU = 65 +/- 15 mumol kg(-1), DeltaTIC = 40 +/- 8 mumol kg(-1)) and in the Southern Boundary of the ACC front (DeltaNO(3) = 10 +/- 3 mumol kg(-1), DeltaPO(4) = 0.6 +/- 0.2mumol kg(-1), DeltaSi(OH)(4) = 1.9 +/- 1.6 mumol kg(-1), DeltaAOU = 78 +/- 10 mumol kg(-1), DeltaTIC = 69 +/- 17 mumol kg(-1)), which was associated with high biomass. During FRUELA 96 cruise, the highest nutrient consumption also was observed in the Gerlache Strait (DeltaNO(3) = 14 +/- 3 mumol kg(-1), DeltaPO(4) = 1.1 +/- 0.2 mumol kg(-1), DeltaSi(OH)(4) = 12 +/- 5 mumol kg(-1), DeltaAOU = 94 +/- 22 mumol kg(-1), DeltaTIC = 70 +/- 16 mumol kg(-1)), with average chlorophyll a of 7 +/- 2 mg m(-3). Using a simple approach, we can ascertain whether the estimated nutrient consumption can account for the observed biomass accumulation during the two cruises. (C) 2001 Elsevier Science Ltd. All rights reserved.</t>
  </si>
  <si>
    <t>CSIC, Inst Invest Marinas, Vigo 36208, Spain</t>
  </si>
  <si>
    <t>Consejo Superior de Investigaciones Cientificas (CSIC); CSIC - Instituto de Investigaciones Marinas (IIM)</t>
  </si>
  <si>
    <t>Castro, CG (corresponding author), CSIC, Inst Invest Marinas, Eduardo Cabello 6, Vigo 36208, Spain.</t>
  </si>
  <si>
    <t>Fernandez Perez, Fiz/B-9001-2011</t>
  </si>
  <si>
    <t>Fernandez Perez, Fiz/0000-0003-4836-8974; Doval, Marylo/0000-0002-8565-8703; Castro, Carmen G./0000-0001-7415-078X</t>
  </si>
  <si>
    <t>10.1016/S0967-0645(01)00115-1</t>
  </si>
  <si>
    <t>WOS:000173057900004</t>
  </si>
  <si>
    <t>Alvarez, M; Ríos, AF; Rosón, G</t>
  </si>
  <si>
    <t>Spatio-temporal variability of air-sea fluxes of carbon dioxide and oxygen in the Bransfield and Gerlache Straits during Austral summer 1995-96</t>
  </si>
  <si>
    <t>SOUTHERN-OCEAN; WEDDELL SEA; DISSOCIATION-CONSTANTS; BELLINGSHAUSEN SEA; INORGANIC CARBON; NORTH-ATLANTIC; CO2 FLUXES; SEAWATER; SYSTEM; PHYTOPLANKTON</t>
  </si>
  <si>
    <t>The potential of the Bellingshausen Sea, Bransfield and Gerlache Straits as sinks for atmospheric CO2 was investigated by studying the carbon data obtained during FRUELA 95 (December 95-January 96) and FRUELA 96 (January-February 96) cruises. Air-sea exchange Of CO2 and its relation to air-sea O-2 fluxes, surface chlorophyll concentration, physical structures, and other environmental variables were also studied. The processes governing the temporal evolution of total inorganic carbon (TIC) between the two FRUELA cruises were assessed by means of a carbon budget. During FRUELA 95 the frontal region associated with the Southern Boundary of the Antarctic Circumpolar Current (SbyACC) in the Bellingshausen Sea area presented high undersaturation of surface CO2 content (&lt;200 muatm), in contrast to strong oxygen supersaturation (AOU &lt; -48 mumol kg(-1)). This was accompanied by the development of a diatom bloom. Therefore, this area acted as a strong CO2 sink and oxygen source, -6.5 +/- 6 and 25 +/- 29 (mean +/- STD) mmol m(-2) d(-1), respectively. However, no phytoplanktonic biomass accumulation was reported for this area in late January 96 (FRUELA 96). The mean increase of 33 muatm in surface pCO(2) between both surveys can be explained by seasonal warming and air-sea equilibration. On the other hand, in the Bransfield Strait area remnants Of CO(2)(-)rich upwelled water caused it to act as a weak source of CO2 (1.3 +/- 1.1 mmol m(-2) d(-1)) in early December 95. From this period to late January 96 increasing phytoplanktonic activity reduced surface pCO(2) by 30 muatm, leading to a CO2 uptake of -0.9 mmol m(-2) d(-1). The Gerlache Strait had a mean flux of CO2 and O-2 during both FRUELA cruises of -9.6 mmol m(-2) d(-1) and 19.9mmol m(-2) d(-1), respectively. The carbon budget estimated for this area indicated biological processes as the main factor controlling temporal changes between both FRUELAs. Supporting this conclusion, the estimated carbon flux from the euphotic zone in this area was confirmed from measured sediment-trap data, Significant linear correlations between air-sea CO2 and O-2 fluxes were noted during periods of intensive phytoplanktonic activity during FRUELA 95 and in the Gerlache Strait during FRUELA 96. (C) 2001 Elsevier Science Ltd. All rights reserved.</t>
  </si>
  <si>
    <t>CSIC, Inst Invest Marinas, Vigo 36208, Spain; Univ Vigo, Dept Fis Aplicada, Vigo 36200, Spain</t>
  </si>
  <si>
    <t>Consejo Superior de Investigaciones Cientificas (CSIC); CSIC - Instituto de Investigaciones Marinas (IIM); Universidade de Vigo</t>
  </si>
  <si>
    <t>Alvarez, M (corresponding author), CSIC, Inst Invest Marinas, C Eduardo Cabello 6, Vigo 36208, Spain.</t>
  </si>
  <si>
    <t>Álvarez, Marta/D-4367-2009; Porto, Gabriel Rosón/Y-9560-2019</t>
  </si>
  <si>
    <t>Álvarez, Marta/0000-0002-5075-9344; Porto, Gabriel Rosón/0000-0003-3612-7006</t>
  </si>
  <si>
    <t>10.1016/S0967-0645(01)00116-3</t>
  </si>
  <si>
    <t>WOS:000173057900005</t>
  </si>
  <si>
    <t>Figueroa, FL</t>
  </si>
  <si>
    <t>Bio-optical characteristics of Gerlache and Bransfield Strait waters during an Antarctic summer cruise</t>
  </si>
  <si>
    <t>ULTRAVIOLET-B RADIATION; PHYTOPLANKTON DISTRIBUTION; CHLOROPHYLL CONCENTRATION; NATURAL FLUORESCENCE; MARINE ORGANISMS; CARBON FIXATION; OCEAN; PHOTOSYNTHESIS; ABSORPTION; LIGHT</t>
  </si>
  <si>
    <t>Spatial and temporal variations in bio-optical characteristics of the Gerlache and Bransfield Strait waters were determined during an Antarctic summer cruise (FRUELA) in December 1995 and January 1996. Chlorophyll concentration was estimated using a bio-optical model from natural fluorescence flux over the emission of chlorophyll a, incident irradiance, chlorophyll specific absorption coefficient, and quantum yield of fluorescence. The penetration of both photosynthetic active radiation (PAR) and ultraviolet radiation (UV) depended on the concentration of particulated material, Beam attenuation coefficient at 660 nm (c), a good estimator of the particulate material concentration, ranged from 0.85 2.5 m(-1) in the upper mixed layer. The values of particulate beam attenuation and the spectral absorption coefficients suggest that the detritical contribution is relatively low and the package effect is relatively high. Both beam attenuation and vertical attenuation of downward radiation (K-d) were linearly correlated with chlorophyll concentration in the water column. Chlorophyll concentration in the study area varied two orders of magnitude (0.2-23 mug Chl a l(-1)). During the cruise, the maximal UV-B incident radiation at 305 nm was variable ranging from 0.8 to 9.7 muW cm(-2). Great regional differences in penetration of UV-B were observed with K-d(305) values in the upper mixed layer, ranging from 0.01 to 0.56 m(-1). On the other hand, the attenuation coefficient of downward PAR radiation (Kd(PAR)) in the upper mixed layer ranged from 0.08 to 0.5 m(-1). K-d values of both PAR and UV were higher in the stations of Gerlache Strait, coastal waters of Trinity Peninsula, and in a front system north of Bransfield. The lowest K-d values were found in Bransfield, south of King George and Livingstone islands and were associated to low cell densities and chlorophyll concentrations. The spectral light attenuation between 300 and 800 nm also was analyzed. Blue and red regions of the spectra were drastically attenuated in the surface waters of Gerlache Strait. (C) 2001 Elsevier Science Ltd. All rights reserved.</t>
  </si>
  <si>
    <t>Univ Malaga, Fac Ciencias, Dept Ecol, E-29071 Malaga, Spain</t>
  </si>
  <si>
    <t>Universidad de Malaga</t>
  </si>
  <si>
    <t>Figueroa, FL (corresponding author), Univ Malaga, Fac Ciencias, Dept Ecol, Campus Univ Teatinos S-N, E-29071 Malaga, Spain.</t>
  </si>
  <si>
    <t>Lopez Figueroa, Felix Diego/K-7720-2014</t>
  </si>
  <si>
    <t>Lopez Figueroa, Felix Diego/0000-0003-3580-4693</t>
  </si>
  <si>
    <t>10.1016/S0967-0645(01)00118-7</t>
  </si>
  <si>
    <t>WOS:000173057900007</t>
  </si>
  <si>
    <t>Rodríguez, J; Jiménez-Gómez, F; Blanco, JM; Figueroa, ML</t>
  </si>
  <si>
    <t>Physical gradients and spatial variability of the size structure and composition of phytoplankton in the Gerlache Strait (Antarctica)</t>
  </si>
  <si>
    <t>WESTERN BRANSFIELD STRAIT; NORTHWESTERN WEDDELL SEA; AUSTRAL SUMMER; MCMURDO-SOUND; ICE-EDGE; PHAEOCYSTIS SP; ALBORAN SEA; BIOMASS; BLOOM; OCEAN</t>
  </si>
  <si>
    <t>The patterns of variability of the size structure and functional composition of phytoplankton are closely linked to physical gradients in the coastal waters of the Gerlache Strait (Antarctic Peninsula). Different stratified conditions are found at both extremes of the Strait, separated by a large, rather vertically homogeneous body of water. In the SW extreme close to Bellingshausen Sea, a cold upper layer representative of ice melting influence is dominated by microplankton (20-100 mum ESD) biomass, mainly composed of colonies or aggregates of Phaeocystis in bloom stage. In the NE extreme close to Bransfield Strait, a warm surface layer has a 10-20 mum nano planktonic community dominated by Cryptomonas and a diverse assemblage of ultraplanktonic (2-10 mum) flagellates. In this area, microplankton larger than 40 mum ESD is almost absent at the sample volume studied. Also in terms of biomass, mixed central waters are dominated by microplankton, particularly large diatoms. Our results show that diatoms and microplankton are the dominant categories under turbulent conditions, with typical flagellate blooms (Phaeocystis and Cryptomonas) under particularly stratified conditions. In terms of numerical abundance, however, ultraplanktonic flagellates usually dominate the community, giving a bell shaped size-abundance spectra in all the regions and supporting previous suggestions of flagellate dominance even under mixed-layer conditions. (C) 2001 Published by Elsevier Science Ltd.</t>
  </si>
  <si>
    <t>Univ Malaga, Fac Ciencias, Dept Ecol &amp; Geol, E-29071 Malaga, Spain</t>
  </si>
  <si>
    <t>jaime_rodri@uma.es</t>
  </si>
  <si>
    <t>GOMEZ, FRANCISCO JIMENEZ/E-7093-2012; Gómez, Francisco Jiménez/AAA-1425-2021; Lopez Figueroa, Felix Diego/K-7720-2014</t>
  </si>
  <si>
    <t>Gómez, Francisco Jiménez/0000-0001-8644-7089; Rodriguez, Jaime/0000-0002-4143-883X; Lopez Figueroa, Felix Diego/0000-0003-3580-4693</t>
  </si>
  <si>
    <t>10.1016/S0967-0645(01)00119-9</t>
  </si>
  <si>
    <t>WOS:000173057900008</t>
  </si>
  <si>
    <t>Lorenzo, LM; Arbones, B; Figueiras, FG; Tilstone, GH; Figueroa, FL</t>
  </si>
  <si>
    <t>Photosynthesis, primary production and phytoplankton growth rates in Gerlache and Bransfield Straits during Austral summer: cruise FRUELA 95</t>
  </si>
  <si>
    <t>COASTAL UPWELLING SYSTEM; ANTARCTIC PHYTOPLANKTON; SOUTHERN-OCEAN; WEDDELL SEA; CARBON; BIOMASS; VARIABILITY; ECOSYSTEMS; IRRADIANCE; VICINITY</t>
  </si>
  <si>
    <t>Bio-optical parameters, primary production, and phytoplankton growth rates were determined in the southern part of the Bellingshausen Sea, the western part of the Bransfield Strait, and the Gerlache Strait, during December 1995 and early January 1996. Three water bodies were present at the surface (&lt; 100 m); Bellingshausen warm waters (BWW), Bellingshausen cold waters (BCW), and transitional Weddell waters (TWW), which were separated by a thermal front. High chlorophyll concentrations were found in the upper mixed layer (UML) of the BCW waters (5.57 +/- 4.04 mg m(-3)), with intermediate values in BWW (2.85 +/- 1.24 mg m(-3)) and the lowest values in the TWW (1.53 +/- 0.94 mg m(-3)), The broadband photosynthetic parameters (P-max(B), alpha(B) and E-KPAR) were highest in BWW and lowest in TWW, except for E-KPAR, which did not show significant differences between water bodies. Spectral bio-optical parameters ((a(ph)) over bar, phi(max) and E-KPUR) showed a similar distribution to chlorophyll concentrations except E-KPUR, which was highest in BWW. A comparison between light-saturation parameters and water-column irradiance suggests that photosynthesis was not light-limited in the mixed layer. However, transitory situations exist where photosynthesis could be close to limitation at the bottom of the photic layer when high chlorophyll concentrations were present in the surface layers. The high maximum quantum yields (0.073 +/- 0.032 mol C (mol photons)(-1)) also suggest that iron limitation of photosynthesis should not be occurring in the region during the cruise. The mean primary production rates were 1.11 +/- 0.68 g C m(-2) d(-1) in the TWW, 2.28 +/- 0.98 g C m(-2) d(-1) in the BCW, and 2.68 +/- 0.94 g C-2 d(-1) in the BWW. The Gerlache Strait and frontal zones were the most productive, with values analogous to those of upwelling areas. Carbon-specific growth rates in UML (0.43 +/- 0.16 d(-1)) were similar to those of temperate seas, neither nutrient- nor light-limited. Growth rates in the UML of BCW (0.54 +/- 0.20 d(-1)) were higher than those of TWW (0.37 +/- 0.08 d(-1)) and BWW (0.35 +/- 0.09 d(-1)). The results indicate that factors as microzooplankton grazing or sinking should control the standing stock of phytoplankton, since photosynthesis was not limited. (C) 2001 Elsevier Science Ltd. All rights reserved.</t>
  </si>
  <si>
    <t>CSIC, Inst Invest Marinas, Vigo 36208, Spain; Univ Malaga, Fac Ciencias, Dept Ecol, E-29071 Malaga, Spain</t>
  </si>
  <si>
    <t>Consejo Superior de Investigaciones Cientificas (CSIC); CSIC - Instituto de Investigaciones Marinas (IIM); Universidad de Malaga</t>
  </si>
  <si>
    <t>CSIC, Inst Invest Marinas, Eduardo Cabello 6, Vigo 36208, Spain.</t>
  </si>
  <si>
    <t>luimar@iim.esic.es</t>
  </si>
  <si>
    <t>Figueiras, Francisco/A-5034-2008; Lopez Figueroa, Felix Diego/K-7720-2014</t>
  </si>
  <si>
    <t>Figueiras, Francisco/0000-0003-1810-4935; Tilstone, Gavin/0000-0002-9347-1682; Arbones, Belen/0000-0001-5185-1217; Lopez Figueroa, Felix Diego/0000-0003-3580-4693</t>
  </si>
  <si>
    <t>10.1016/S0967-0645(01)00120-5</t>
  </si>
  <si>
    <t>WOS:000173057900009</t>
  </si>
  <si>
    <t>Rodriguez, F; Varela, M; Zapata, M</t>
  </si>
  <si>
    <t>Phytoplankton assemblages in the Gerlache and Bransfield Straits (Antarctic Peninsula) determined by light microscopy and CHEMTAX analysis of HPLC pigment data</t>
  </si>
  <si>
    <t>EMILIANIA-HUXLEYI PRYMNESIOPHYCEAE; PERFORMANCE LIQUID-CHROMATOGRAPHY; WESTERN EQUATORIAL PACIFIC; SCOTIA CONFLUENCE AREA; ALGAL CLASS ABUNDANCES; COMMUNITY-STRUCTURE; BIOCHEMICAL-COMPOSITION; MARINE-PHYTOPLANKTON; MASS-SPECTROMETRY; NORTH-ATLANTIC</t>
  </si>
  <si>
    <t>The distribution and composition of phytoplankton assemblages were studied in the Gerlache and Bransfield Straits (Antarctic Peninsula) during the FRUELA 95 (December 1995) and FRUELA 96 (January 1996) cruises, using light microscopy and HPLC pigment analysis. Based on phytoplankton size and composition, two regions could be distinguished. The first region embraced the southwestern part of the Gerlache Strait, including a frontal system in the northeastern area. Chlorophyll (Chl) a values were generally high in surface waters (from 3.5 to 26.2 mug l(-1)). Phytoplankton assemblages in the stratified waters of the southwestern Gerlache Strait were dominated by large diatoms and the flagellate Pyramimonas sp. (mixed with Phaeocystis in FRUELA 95). Pigment patterns included Chl a, Chl b, different Chls c, and fucoxanthin as the major carotenoid. The frontal zone was characterized by a bloom of Pyramimonas. Following a transect from southwestern Gerlache Strait towards the Bransfield Strait an increased contribution of Chl b, violaxanthin, and two unknown carotenoids (tentatively identified as loroxanthin and loroxanthin-ester) was observed which paralleled the Pyramimonas distribution. The marker pigment lutein, usually associated with chlorophytes and prasinoxanthin-lacking prasinophyceans, was only detected at very low concentrations. The second region, embracing the Bransfield Strait and one station in the Drake Passage, was characterized by stratified waters and low Chl a concentration (from 0.18 to 3.88 mug l(-1)). Phytoplankton assemblages were dominated by the nanoplankter Cryptomonas sp. (FRUELA 95), the colonial haptophyte Phaeocystis cf. antarctica, and small flagellates (FRUELA 96). Pigment composition was mainly constituted by Chl a, Chl C-2, Chl c(3), alloxanthin, fucoxanthin, 19'-butanoyloxyfucoxanthin, and 19'-hexanoyloxyfucoxanthin. HPLC pigment data were processed using a factorization matrix program (CHEMTAX) to estimate the contribution of different algal classes to total Chl a, Four 'algal groups' were included in the chemotaxonomic approach: 'diatoms', 'Phaeocystis', 'cryptophytes', and 'Pyramimonas'. A fifth 'chemotaxonomic group' was defined to reconstruct the distribution of an assemblage consisting of autotrophic peridinin-lacking dinoflagellates, some haptophytes, and chrysophytes, which were probably included by cell counting into the single group of 'small flagellates'. The distribution patterns of the CHEMTAX groups were in agreement with cell counts of diatoms, cryptophytes, and Pyramimonas. Discrepancies were observed for P. cf. antarctica as well as for small flagellates and dinoflagellates. Significant positive correlations were found between phytoplankton cell counts and different Chls c, suggesting the chemotaxonomic usefulness of Chls c as marker pigments for phytoplankton groups in addition to carotenoids. (C) 2001 Published by Elsevier Science Ltd.</t>
  </si>
  <si>
    <t>Ctr Invest Marinas, Conselleria Pesca, Xunta Galicia, E-36620 Vilanova De Arousa, Spain; Inst Espanol Oceanog, E-15080 La Coruna, Spain; Univ Vigo, Dept Biol Vexetal &amp; Ciencia Solo, E-36200 Vigo, Spain</t>
  </si>
  <si>
    <t>Spanish Institute of Oceanography; Universidade de Vigo</t>
  </si>
  <si>
    <t>Zapata, M (corresponding author), Ctr Invest Marinas, Conselleria Pesca, Xunta Galicia, Apdo 13, E-36620 Vilanova De Arousa, Spain.</t>
  </si>
  <si>
    <t>Rodriguez, Francisco/A-5934-2019</t>
  </si>
  <si>
    <t>Rodriguez, Francisco/0000-0002-6918-4771</t>
  </si>
  <si>
    <t>10.1016/S0967-0645(01)00121-7</t>
  </si>
  <si>
    <t>WOS:000173057900010</t>
  </si>
  <si>
    <t>Varela, M; Fernandez, E; Serret, P</t>
  </si>
  <si>
    <t>Size-fractionated phytoplankton biomass and primary production in the Gerlache and south Bransfield Straits (Antarctic Peninsula) in Austral summer 1995-1996</t>
  </si>
  <si>
    <t>ICE-EDGE ZONE; SEA-ICE; WEDDELL SEA; STANDING CROP; GROWTH-RATES; ROSS SEA; OCEAN; CHLOROPHYLL; BLOOMS; WATERS</t>
  </si>
  <si>
    <t>From the beginning of December 1995 to the beginning of February of 1996, 29 stations were visited in the area of Bransfield and Gerlache Straits, and Bellingshausen Sea. Size-fractionated chlorophyll and primary production rates (0.2-2, 2-10 and &gt; 10 mum), as well as phytoplankton species composition were determined. Primary production experiments were carried out following JGOFS protocols and samples incubated from dawn during 24 h. The study area was divided into three main regions: A-Large diatoms region, Gerlache Strait on both cruises, and shelf break of Bellingshausen Sea area during the cruise FRUELA 95, with high values of primary production and predominance of large (&gt; 10 mum) phytosynthetic phytoplankters. Primary production and chlorophyll a (Chl a) concentration averaged, respectively, 2.1 g C m(-2) d(-1) and 165 mg Chl a m(-2) Eighty percent or Chl a and 70% of primary production corresponded to cells larger than 10 mum, such as big chain-forming diatoms, the large flagellate Pyramimonas, and colonies of Phaeocystis. B-Cryptophycean region, Bransfteld Strait and confluence with Gerlache Strait. Characterised by moderate values of primary production of small size organisms. Mean primary production values were ca. 1.0 g C m(-2) d(-1) and 62 mg Chl a m(-2), and the phytoplankton community was formed essentially by Cryptomonas species, Approximately 80% of Chl a and primary production corresponded to less than 10-mum cells. Within this region, a subarea could be distinguished in the central zone of Bransfield Strait, with low phytoplankton biomass (around 20 mg Chl a m(-2)) and primary production (ca 0.6 gC m(-2) d(-1)). In this subarea, the phytoplankton community was dominated by free cells of Phaeocystis and Cryptoinonas; Sixty-five percent of the Chl a and 80% of primary production corresponded to smaller fractions. C-Region of very low phytoplankton biomass, all Bellingshausen Sea during the FRUELA 96 cruise. Primary 2 2 production was around 0.2 g C m(-2) d(-1) and Chl a about 10 mg m(-2). Phytoplankton was dominated by microflagellates (&lt;10 mum), small dinoflagellates (&lt; 20 mum), and very small (&lt; 10 mum) diatoms. More than 70% of the primary production and Chl a corresponded to the smaller than 10-mum fraction. No statistical relationship was found between phytoplankton distribution and hydrography and/or concentrations of dissolved inorganic nutrients for the different regions. The upper mixed layer was always within the photic zone, and levels of nutrients were always high enough to be non-limiting for phytoplankton growth. Grazing pressure as well as sedimentation and respiration losses, in combination with shallow mixed layers, specially in some and very high productive stations of Region A, might be the main factors controlling the phytoplankton distribution in this area of the Antarctic Peninsula. (C) 2001 Elsevier Science Ltd. All rights reserved.</t>
  </si>
  <si>
    <t>Inst Espanol Oceanog, Ctr Costero Coruna, E-15080 La Coruna, Spain; Univ Vigo, Dept Ecol &amp; Biol Anim, E-36200 Vigo, Spain; Univ Oviedo, Dept Biol Organismos &amp; Sistemas, E-33071 Oviedo, Spain</t>
  </si>
  <si>
    <t>Spanish Institute of Oceanography; Universidade de Vigo; University of Oviedo</t>
  </si>
  <si>
    <t>Inst Espanol Oceanog, Ctr Costero Coruna, Muelle Animass S-N,Apdo 130, E-15080 La Coruna, Spain.</t>
  </si>
  <si>
    <t>manuel.varela@co.ieo.es</t>
  </si>
  <si>
    <t>Fernandez, Emilio/D-2453-2009; Serret, Pablo/ABH-3186-2020</t>
  </si>
  <si>
    <t>Fernandez, Emilio/0000-0001-7985-0814; Serret, Pablo/0000-0001-6087-6272</t>
  </si>
  <si>
    <t>10.1016/S0967-0645(01)00122-9</t>
  </si>
  <si>
    <t>WOS:000173057900011</t>
  </si>
  <si>
    <t>Morán, XAG; Estrada, M</t>
  </si>
  <si>
    <t>Phytoplanktonic DOC and POC production in the Bransfield and Gerlache Straits as derived from kinetic experiments of 14C incorporation</t>
  </si>
  <si>
    <t>DISSOLVED ORGANIC-CARBON; AUSTRAL SPRING BLOOM; WEDDELL-SCOTIA SEA; EXTRACELLULAR PRODUCTS; ANTARCTIC PHYTOPLANKTON; BACTERIAL PRODUCTION; NORTH-SEA; MARINE-PHYTOPLANKTON; EXUDATE RELEASE; COASTAL WATERS</t>
  </si>
  <si>
    <t>The production rates of DOC and POC by phytoplankton during the FRUELA 95 cruise were estimated by means of time-course experiments of C-14-bicarbonate incorporation. A three-compartment carbon exchange model was used to avoid the artifacts that may appear in end-point experiments due to heterotrophic removal of recently released DOC. The study area was classified into three regions with different ecological characteristics: Bransfield Strait, Gerlache Strait and the Gerlache-Bransfield Confluence (GB Confluence). Percent extracellular release (PER) for all stations ranged from 3% to 47%, with an average of 24%. In surface (5 in depth) waters, POC and DOC production rates were higher in Gerlache Strait than in the GB Confluence and Bransfield Strait. PER values followed an opposite trend, with an average of 26% in Bransfield Strait, 17% in the GB Confluence and 13% in Gerlache Strait. In Gerlache Strait, PER at 10 m depth was significantly higher than at the surface. With pooled data from all experiments, there was a positive relationship between DOC and POC production rates (log-log), but the slope significantly smaller than 1.0 indicated an inverse trend between PER and primary production rate. Phytoplanktonically produced DOC appeared to meet carbon requirements of heterotrophic prokaryotes in the whole area. A positive relationship between prokaryotic heterotrophic production and DOC production rate was found only in Bransfield Strait. These differences are discussed in relationship with the ecological characteristics of the different regions. (C) 2001 Elsevier Science Ltd. All rights reserved.</t>
  </si>
  <si>
    <t>CSIC, Inst Ciencias Mar, Dept Biol Marina &amp; Oceanog, E-08039 Barcelona, Spain</t>
  </si>
  <si>
    <t>Consejo Superior de Investigaciones Cientificas (CSIC); CSIC - Centro Mediterraneo de Investigaciones Marinas y Ambientales (CMIMA); CSIC - Instituto de Ciencias del Mar (ICM)</t>
  </si>
  <si>
    <t>Morán, XAG (corresponding author), Inst Espanol Oceanog, Ctr Oceanog Xixon, Camin Larbeyal S-N, E-33212 Xixon, Spain.</t>
  </si>
  <si>
    <t>Estrada, Marta/L-6207-2014; Moran, Xose Anxelu G./K-9647-2014</t>
  </si>
  <si>
    <t>Estrada, Marta/0000-0001-5769-9498; Moran, Xose Anxelu G./0000-0002-9823-5339</t>
  </si>
  <si>
    <t>10.1016/S0967-0645(01)00123-0</t>
  </si>
  <si>
    <t>WOS:000173057900012</t>
  </si>
  <si>
    <t>Pedrós-Alió, C; Vaqué, D; Guixa-Boixereu, N; Gasol, JM</t>
  </si>
  <si>
    <t>Prokaryotic plankton biomass and heterotrophic production in western Antarctic waters during the 1995-1996 Austral summer</t>
  </si>
  <si>
    <t>MARGINAL ICE-ZONE; BACTERIAL PRODUCTION; BRANSFIELD STRAIT; ROSS-SEA; SPATIAL-DISTRIBUTION; GROWTH EFFICIENCY; PROTEIN-SYNTHESIS; GERLACHE STRAIT; MARINE-BACTERIA; SOUTHERN-OCEAN</t>
  </si>
  <si>
    <t>We examined prokaryotic biomass (PB) and prokaryotic heterotrophic production (PHP) during spring and summer in three Antarctic areas: Bellingshausen Sea, Bransfield Strait and Gerlache Strait in December 1995 and in January-February 1996. The data gathered allowed comparisons among areas, between seasons, and with the RACER study, carried out 10 years earlier in the same zone (Deep-Sea Res. 38 (1991) 1029). Prokaryotic numbers ranged from 0.67 to 13.3 x 10(5) cells ml(-1), with a mean of 3.86 x 10(5) cells ml(-1). In order to obtain accurate estimates of PHP, the effect of temperature on leucine incorporation was studied and conversion factors (CF) were determined empirically. Several experiments were carried out to determine the influence of temperature on leucine incorporation rate. In 5 out of 7 experiments, leucine incorporation increased on increasing temperature from -2 to 4degreesC, but remained constant at higher temperatures (up to I VC). In one experiment no response of leucine incorporation rate to temperature was found. CF were determined in filtration-dilution cultures. Parallel cultures from different areas were incubated with different organic matter amendments and at different temperatures, These treatments did not affect the conversion factor except for the incubation at -1.5degreesC in one experiment. The remaining cultures produced CF that were not significantly different. The average value was 0.81 kgC (mol leucine)(-1). The PHP was higher in December (between 25.2 mgC m(-2) d(-1) in Bransfield Strait and 47.7 mgC m(-2) d(-1) in Gerlache Strait) than in January (between 8.0 mgC m(-2) d(-1) in Bransfield Strait and 22.9 mgC m(-2) d(-1) in Gerlache Strait) in all the areas studied. As a result, doubling times in Bellingshausen Sea and Gerlache Strait increased from 14-17 days in December to 32-75 days in January. In Bransfield Strait doubling times were always around 45 days. In Gerlache Strait this decrease in activity between December and January occurred despite a doubling of the chlorophyll concentration. Prokaryotic abundance was lower than that expected from chlorophyll concentrations and general relationships between chlorophyll and prokaryotic numbers. The prokaryotic plankton was not capable of processing all the organic matter provided by phytoplankton and was, therefore, not limited by resource supply. Lysis due to viruses, on the other hand, was shown to be an important loss factor for prokaryotes (Guixa-Boixereu et al., Deep-Sea Res. 11 (2002) 827-845). Temperature and predation by viruses might be the two main factors controlling the activity of prokaryotes in these waters. (C) 2001 Elsevier Science Ltd. All rights reserved.</t>
  </si>
  <si>
    <t>CSIC, CMIMA, Inst Ciencias Mar, Dept Biol Marina &amp; Oceanog, E-08003 Barcelona, Spain</t>
  </si>
  <si>
    <t>cpedros@icm.csic.es</t>
  </si>
  <si>
    <t>Vaque, Dolors/H-6973-2018; Pedros-Alio, Carlos/H-1222-2011; Gasol, Josep M/B-1709-2008</t>
  </si>
  <si>
    <t>Vaque, Dolors/0000-0002-0420-5914; Pedros-Alio, Carlos/0000-0003-1009-4277; Gasol, Josep M/0000-0001-5238-2387</t>
  </si>
  <si>
    <t>10.1016/S0967-0645(01)00125-4</t>
  </si>
  <si>
    <t>WOS:000173057900014</t>
  </si>
  <si>
    <t>Guixa-Boixereu, N; Vaqué, D; Gasol, JM; Sánchez-Cámara, J; Pedrós-Alió, C</t>
  </si>
  <si>
    <t>Viral distribution and activity in Antarctic waters</t>
  </si>
  <si>
    <t>BRANSFIELD STRAIT; MARINE-BACTERIA; SPRING BLOOM; VIRUSES; ABUNDANCE; DECAY; EPIFLUORESCENCE; MORTALITY; BIOMASS; LYSIS</t>
  </si>
  <si>
    <t>Variability in abundance of virus-like particles (VLP), VLP decay rates and prokaryotic mortality due to viral infection were determined in three Antarctic areas: Bellingshausen Sea, Bransfield Strait and Gerlache Strait, during December 1995 and February 1996. VLP abundance showed very small spatial variability in the three areas (7 x 10(6)-2 x 10(7) VLP ml(-1)). VLP abundance, on the other hand, decreased one order of magnitude from the surface to the bottom, in two stations where deep vertical profiles were sampled. Low seasonal variability in VLP abundance was found when comparing each area separately. Diel VLP variability was also very low. VLP abundance showed the lowest values when solar irradiation was maximal, in two of the three stations where diel cycles were examined. Viral decay rates (VDR) were determined using KCN in two kinds of experiments. Type I experiments were performed in 6 stations to determine viral decay. Type 2 experiments were carried out in 2 stations to examine the influence of temperature and organic matter concentration on viral decay. VDR was not influenced by these parameters. Prokaryotic mortality due to viral infection was always higher than that due to bacterivores in the stations where both factors of prokaryotic mortality were measured. Viral infection accounted for all the prokaryotic heterotrophic production in Bellingshausen Sea and Gerlache Strait and for half of the prokaryotic heterotrophic production in Bransfield Strait. These high values of prokaryotic mortality due to viral infection are difficult to reconcile in nature, and more work is necessary to determine the mechanisms involved in the disappearance of viruses. (C) 2001 Elsevier Science Ltd. All rights reserved.</t>
  </si>
  <si>
    <t>CSIC, CMIMA, Inst Ciencia Mar, Dept Biol Marina &amp; Oceanog, Passeig Maritin Barceloneta 37-49, E-08003 Barcelona, Spain</t>
  </si>
  <si>
    <t>Gasol, Josep M/B-1709-2008; Pedros-Alio, Carlos/H-1222-2011; Vaque, Dolors/H-6973-2018</t>
  </si>
  <si>
    <t>Gasol, Josep M/0000-0001-5238-2387; Pedros-Alio, Carlos/0000-0003-1009-4277; Vaque, Dolors/0000-0002-0420-5914</t>
  </si>
  <si>
    <t>10.1016/S0967-0645(01)00126-6</t>
  </si>
  <si>
    <t>WOS:000173057900015</t>
  </si>
  <si>
    <t>Vaqué, D; Guixa-Boixereu, M; Gasol, JM; Pedrós-Alió, C</t>
  </si>
  <si>
    <t>Distribution of microbial biomass and importance of protists in regulating prokaryotic assemblages in three areas close to the Antarctic Peninsula in spring and summer 1995/96</t>
  </si>
  <si>
    <t>BACTERIAL PRODUCTION; COASTAL WATERS; EAST ANTARCTICA; GRAZING RATES; FOOD-WEB; MARINE; DYNAMICS; CARBON; ECOSYSTEM; VOLUME</t>
  </si>
  <si>
    <t>Two cruises were carried out during the Austral spring-summer (November 1995-January 1996: FRUELA 95, and January- February 1996: FRUELA 96), sampling in Bellingshausen Sea, western Bransfield Strait and Gerlache Strait. We investigated whether there were any spatial (among locations) or temporal (between cruises) differences in abundance and biomass of microbial heterotrophic and autotrophic assemblages. Changes in the concentration of chlorophyll a, prokaryotes, heterotrophic and phototrophic nanoflagellates abundance and biomass were followed in the above mentioned locations close to the Antarctic Peninsula. Parallel to these measurements we selected seven stations to determine grazing rates on prokaryotes by protists at a depth coincident with the depth of maximum chlorophyll a concentration. Measuring the disappearance of fluorescent minicells over 48 h assessed grazing by the protist community. From prokaryotes grazing rates, we estimated how much prokaryotic carbon was channeled to higher trophic levels (protists), and whether this prokaryotic carbon could maintain protists biomass and growth rates. In general higher values were reported for Gerlache Strait than for the other two areas. Differences between cruises were more evident for the oligotrophic areas in Bellingshausen Sea and Bransfield Strait than in Gerlache Strait (eutrophic area). Higher values for phototrophic (at least for chlorophyll a concentration) and abundance of all heterotrophic microbial populations were recorded in Bellingshausen Sea and Bransfield Strait during late spring-early summer (FRUELA 95) than in mid-summer (FRUELA 96). However, similar results for these variables were observed in Gerlache Strait as in spring-early summer as well as in mid-summer. Also, we found differences in grazing rates on prokaryotes among stations located in the three areas and between cruises. Thus, during late spring-early summer (FRUELA 95), the prokaryotic biomass consumed from the standing stock was higher in Bellingshausen Sea (26% d(-1)) and Gerlache Strait (18-26% d(-1)) than in Bransfield Strait (0.68-14% d(-1)). During mid-summer (FRUELA 96) a different pattern was observed. The station located in Bellingshausen Sea showed higher values of prokaryotic biomass consumed (11% d(-1)) than the one located in Gerlache Strait (2.3 % d(-1)). Assuming HNF as the main prokaryotic consumers, we estimated that the prokaryotic carbon consumed by heterotrophic nanoflagellates (HNF) barely covers their carbon requirements for growth. These results suggest that in Antarctic waters, HNF should feed in other carbon sources than prokaryotes. (C) 2001 Elsevier Science Ltd. All rights reserved.</t>
  </si>
  <si>
    <t>CSIC, CMIMA, Inst Ciencias Mar, Dept Biol Marina &amp; Oceanog, E-8003 Barcelona, Spain</t>
  </si>
  <si>
    <t>dolors@icm.csic.es</t>
  </si>
  <si>
    <t>10.1016/S0967-0645(01)00127-8</t>
  </si>
  <si>
    <t>WOS:000173057900016</t>
  </si>
  <si>
    <t>Cabal, JA; Alvarez-Marqués, F; Acuña, JL; Quevedo, M; Gonzalez-Quirós, R; Huskin, I; Fernández, D; del Valle, CR; Anadón, R</t>
  </si>
  <si>
    <t>Mesozooplankton distribution and grazing during the productive season in the Northwest Antarctic Peninsula (FRUELA cruises)</t>
  </si>
  <si>
    <t>CALANOIDES-ACUTUS; COASTAL WATERS; WEDDELL SEA; COPEPODA; BIOMASS; INVITRO; RATES; AREA</t>
  </si>
  <si>
    <t>Mesozooplankton distribution and community structure in the Bellinghausen-Bransfield sector of the Antarctic Ocean were investigated during the FRUELA cruises (December 1995-February 1996). Total mesozooplankton biomass ranged between 0.015 and 1.43 g C m(-2). Biomass was higher in the Southern boundary of the Antarctic Circumpolar Current (SbyACC) area and in coastal waters of the Antarctic Peninsula. Total mesozooplankton abundance ranged from 0.4 x 10(3) to 1.3 x 10(5) individuals m(-2), of which 41.6-99.5% corresponded to copepods, mainly families Oithonidae, Oncaeidae, Pseudocalanidae, Calanidae and Metrididae. There was no evidence of coupling between mesoscale physical features and biomass or community structure. While coastal stations mainly at the Gerlache Strait remained in a highly productive state through the spring-summer, oceanic stations experienced a marked shift from a productive condition during FRUELA 95 to a low biomass, pteropod-dominated situation during FRUELA 96, possibly due to changing weather conditions. The median ingestion rates of herbivorous crustaceans during the FRUELA cruises were 0.7 mg Chl a m(-2) day(-1). Measured ingestion rates represented only 0.1% of the chlorophyll standing stock or 10% of the daily primary production. Thus, crustacean mesozooplankton had little control on the development of phytoplankton blooms in the area. (C) 2001 Elsevier Science Ltd. All rights reserved.</t>
  </si>
  <si>
    <t>Univ Oviedo, Dept Biol Organismos &amp; Sistemas, E-33071 Oviedo, Spain</t>
  </si>
  <si>
    <t>University of Oviedo</t>
  </si>
  <si>
    <t>Cabal, JA (corresponding author), Univ Oviedo, Dept Biol Organismos &amp; Sistemas, E-33071 Oviedo, Spain.</t>
  </si>
  <si>
    <t>Quevedo, Mario/I-2493-2015; Gonzalez-Quiros, Rafael/F-6984-2016; Acuna, Jose Luis/I-7482-2016</t>
  </si>
  <si>
    <t>Gonzalez-Quiros, Rafael/0000-0001-5381-1083; Acuna, Jose Luis/0000-0003-3306-7212; Quevedo-de Anta, Mario/0000-0002-6067-3237</t>
  </si>
  <si>
    <t>10.1016/S0967-0645(01)00128-X</t>
  </si>
  <si>
    <t>WOS:000173057900017</t>
  </si>
  <si>
    <t>Anadón, R; Alvarez-Marqués, F; Fernández, E; Varela, M; Zapata, M; Gasol, JM; Vaqué, D</t>
  </si>
  <si>
    <t>Vertical biogenic particle flux during Austral summer in the Antarctic Peninsula area</t>
  </si>
  <si>
    <t>WESTERN BRANSFIELD STRAIT; FECAL PELLETS; FOOD-WEB; PERMANENT STATION; PROTEIN-SYNTHESIS; ORGANIC-MATTER; PHYTOPLANKTON; SEDIMENTATION; CARBON; BACTERIA</t>
  </si>
  <si>
    <t>During both FRUELA cruises, we performed eight circum-diel stations in the Bellingshausen Sea (South of Drake Passage), and the Bransfield and Gerlache straits, where MULTITRAP sediment-traps were deployed for periods of 24 h in order to study carbon (C) and nitrogen (N) export from the photic layer. Two types of regions were visited: High chlorophyll a (Chl a) areas dominated by large-sized diatoms (&gt; 10 mum), and low Chi a areas dominated by Cryptomonas sp. or micro flagellates. The vertical fluxes of C, N, and Chi a, and the number of fecal pellets (FP) were measured, and the taxonomic composition of the sedimented microplankton was analysed; the results compared to the standing stocks in the water column overlaying the sediment traps. We measured higher carbon export rates in the diatom-dominated regions (Gerlache Strait), than in the stations dominated by small phytoplankton (Bransfield Strait and Bellingshausen Sea), The measured C-fluxes ranged from 115 to 800 mg C m(-2) day(-1). Typical C:N ratio (by atoms) varied from 5.5 to 16.4. Nitrogen export, however, was not directly related to C export and, thus, we measured changes in the C: N ratio with stations having higher abundance of FP or detritus presenting higher C: N ratios, Variations in the vertical C-flux were related to biological variables such as FP number, algal community composition (quantitative counts and qualitative SEM observations), and photosynthetic and prokaryotic activity of the sedimented material. We calculated photic layer loss rates of C, N, Chl a (0.53-8.0% day(-1)) and of the different microplankton taxonomic entities (0.27-9.5% day 1). Some exceptionally high loss values were found for Cryptophyceae during Fruela 96. The obtained results are discussed within the conceptual framework set by the relationships between phytoplankton size and rood web structure, and concomitant carbon export from the photic layer. (C) 2001 Elsevier Science Ltd. All rights reserved.</t>
  </si>
  <si>
    <t>Univ Oviedo, Dept Biol Organismos &amp; Sistemas, E-33071 Oviedo, Spain; Univ Vigo, Dept Ecol &amp; Biol Anim, Vigo 36200, Spain; Univ Vigo, Dept Biol Vegetal &amp; Ciencia Suelo, Vigo 36200, Spain; Inst Espanol Ocenog, Lab La Coruna, La Coruna 15080, Spain; CIMA, Conselleria Pesca, Xunta Galicia, Vilanova De Arousa 36620, Spain; Inst Ciencias Mar, E-08039 Barcelona, Spain</t>
  </si>
  <si>
    <t>University of Oviedo; Universidade de Vigo; Universidade de Vigo; Consejo Superior de Investigaciones Cientificas (CSIC); CSIC - Centro Mediterraneo de Investigaciones Marinas y Ambientales (CMIMA); CSIC - Instituto de Ciencias del Mar (ICM)</t>
  </si>
  <si>
    <t>Anadón, R (corresponding author), Univ Oviedo, Dept Biol Organismos &amp; Sistemas, E-33071 Oviedo, Spain.</t>
  </si>
  <si>
    <t>Fernandez, Emilio/D-2453-2009; Gasol, Josep M/B-1709-2008; Vaque, Dolors/H-6973-2018</t>
  </si>
  <si>
    <t>Fernandez, Emilio/0000-0001-7985-0814; Gasol, Josep M/0000-0001-5238-2387; Vaque, Dolors/0000-0002-0420-5914</t>
  </si>
  <si>
    <t>10.1016/S0967-0645(01)00129-1</t>
  </si>
  <si>
    <t>WOS:000173057900018</t>
  </si>
  <si>
    <t>Bárcena, MA; Isla, E; Plaza, A; Flores, JA; Sierro, FJ; Masqué, P; Sanchez-Cabeza, JA; Palanques, A</t>
  </si>
  <si>
    <t>Bioaccumulation record and paleoclimatic significance in the Western Bransfield Strait.: The last 2000 years</t>
  </si>
  <si>
    <t>ANTARCTIC PENINSULA REGION; SURFACE SEDIMENTS; MARINE-SEDIMENTS; OCEAN CHEMISTRY; ATLANTIC SECTOR; SOUTHERN-OCEAN; HOLOCENE; BASIN; SEA; WATERS</t>
  </si>
  <si>
    <t>Two gravity cores, A-3 and A-6, from the western basin of the Bransfield Strait, Antarctica, were recovered during the BIO Hesperides expedition FRUELA 96. Both cores consist mainly of hemipelagic and laminated muds with black layers rich in sand-sized volcanic ash. Geochemical analyses (TOC and opal), radiometric dating techniques (AMS C-14 and Pb-210), and micropaleontological analyses (diatoms) were performed on both cores. AMS analyses on TOC yielded 14 C ages older than expected: 3960 +/- 50 yr BP for the core top of A-3, and 3410 +/- 50 yr BP for A-6. Pb-210 analyses revealed that core top age for both gravity cores could be estimated to be about 100 +/- 15 yr BP The results of diatom analyses were related to the sequence of neoglacial events that have occurred over the last two millennia. The abundance patterns of Chaetoceros RS, the biogenic silica content, and the abundance of diatom valves agree with the high productivity values previously reported for the Bransfield Strait waters. The significant recent reduction in resting spores of the diatom Chaetoceros suggests as a reduction in surface productivity. Trend differences between Chaetoceros resting-spore abundance and TOC contents are explained in terms of organic matter preservation, Diatom communities from the Bransfield Strait did not play an important role in the global CO2 cycle during cold periods. Bio- and geochemical changes have an overprinted high-frequency cyclicity at about 200 300 yr, which might be related to the 200-yr solar cycle, (C) 2001 Elsevier Science Ltd. All rights reserved.</t>
  </si>
  <si>
    <t>Univ Salamanca, Fac Ciencias, Dept Geol, E-37008 Salamanca, Spain; CSIC, Inst Ciencias Mar, E-08039 Barcelona, Spain; Univ Autonoma Barcelona, Dept Fis, E-08193 Barcelona, Spain</t>
  </si>
  <si>
    <t>University of Salamanca; Consejo Superior de Investigaciones Cientificas (CSIC); CSIC - Centro Mediterraneo de Investigaciones Marinas y Ambientales (CMIMA); CSIC - Instituto de Ciencias del Mar (ICM); Autonomous University of Barcelona</t>
  </si>
  <si>
    <t>Bárcena, MA (corresponding author), Univ Salamanca, Fac Ciencias, Dept Geol, E-37008 Salamanca, Spain.</t>
  </si>
  <si>
    <t>Masque, Pere/B-7379-2008; Masque, Pere/AAC-9349-2022; Barcena, María Angeles/D-5839-2011; Flores, José-Abel/D-4218-2009; Palanques, Albert/C-2661-2013; Sierro, Francisco/A-4714-2008; Sanchez-Cabeza, Joan-Albert/Q-2394-2016</t>
  </si>
  <si>
    <t>Masque, Pere/0000-0002-1789-320X; Masque, Pere/0000-0002-1789-320X; Barcena, María Angeles/0000-0001-8261-2286; Flores, José-Abel/0000-0003-1909-293X; Sierro, Francisco/0000-0002-8647-456X; Isla, Enrique/0000-0003-4959-6936; Palanques, Albert/0000-0003-2544-2342; Sanchez-Cabeza, Joan-Albert/0000-0002-3540-1168</t>
  </si>
  <si>
    <t>10.1016/S0967-0645(01)00132-1</t>
  </si>
  <si>
    <t>WOS:000173057900021</t>
  </si>
  <si>
    <t>Ward, SN; Asphaug, E</t>
  </si>
  <si>
    <t>Impact tsunami-Eltanin</t>
  </si>
  <si>
    <t>Employing classical tsunami theory and elementary assumptions about the initial shape of impact cavities, we compute tsunami from the Eltanin asteroid collision at 2.15 Ma. An Eltanin impactor 4 km in diameter would have blown an initial cavity as deep as the ocean and 60km wide into the South Pacific and delivered a 200-300 m high tsunami to the Antarctic Peninsula and the southern tip of South America 1200-1500 km away. New Zealand, 6000 km distant, would have met 60 m waves. Generalizing these results to other size impactors, we fit simplified tsunami attenuation laws to maximum tsunami heights extracted from the full-wave calculations. If Eltanin was 1 km in diameter instead of 4 km, its waves would have been at least five times smaller. An asteroid the size of Chicxulub (10 km diameter), had it fallen into water deeper than 1000 m, would have sent a 100 m tsunami out to 4000 km distance, even if shoaling amplifications are neglected. (C) 2002 Elsevier Science Ltd. All rights reserved.</t>
  </si>
  <si>
    <t>Univ Calif Santa Cruz, Inst Geophys &amp; Planetary Phys, Santa Cruz, CA 95064 USA; Univ Calif Santa Cruz, Earth Sci Board, Santa Cruz, CA 95064 USA</t>
  </si>
  <si>
    <t>University of California System; University of California Santa Cruz; University of California System; University of California Santa Cruz</t>
  </si>
  <si>
    <t>Ward, SN (corresponding author), Univ Calif Santa Cruz, Inst Geophys &amp; Planetary Phys, Santa Cruz, CA 95064 USA.</t>
  </si>
  <si>
    <t>ward@uplift.ucsc.edu</t>
  </si>
  <si>
    <t>Asphaug, Erik/AAC-9455-2020</t>
  </si>
  <si>
    <t>PII S0967-0645(01)00147-3</t>
  </si>
  <si>
    <t>10.1016/S0967-0645(01)00147-3</t>
  </si>
  <si>
    <t>541BH</t>
  </si>
  <si>
    <t>WOS:000174965000010</t>
  </si>
  <si>
    <t>Karstensen, J; Quadfasel, D</t>
  </si>
  <si>
    <t>Water subducted into the Indian Ocean subtropical gyre</t>
  </si>
  <si>
    <t>ANTARCTIC INTERMEDIATE WATER; SOUTHERN-OCEAN; NORTH-ATLANTIC; MASS FORMATION; MIXED-LAYER; WORLD OCEAN; CIRCULATION; THERMOCLINE; VENTILATION; MODE</t>
  </si>
  <si>
    <t>Subduction rates of the water into southern Indian Ocean permanent thermocline from 23.5 to 26.9 kg m(-3) are calculated from a kinematic and a water-age approach and are compared with surface buoyancy flux calculations. The different estimates compare well within error margins, indicating that the effect of transient eddies on the subduction process is of second order. Considering only northward transport components, the overall transfer of water into the Indian Ocean thermocline is about 34 Sv (1 Sv = 10(6) m(3) s(-1)), with equal contributions from lateral and vertical (essentially Ekman pumping) components. Ekman pumping dominates the upper density range (&lt;25.2 kg m(-3)) while for denser water the largest contribution stems from lateral input of Mode Waters. High silicate concentrations in the Mode Waters indicate that Southern Ocean waters participate in the formation process. The source water properties in salinity, oxygen, and nutrients along the surface of the deepest winter mixed layer are given. (C) 2002 Elsevier Science Ltd. All rights reserved.</t>
  </si>
  <si>
    <t>Columbia Univ, Lamont Doherty Geol Observ, Palisades, NY 10964 USA; Univ Copenhagen, Niels Bohr Inst Astronomi, DK-2100 Copenhagen, Denmark</t>
  </si>
  <si>
    <t>Columbia University; University of Copenhagen</t>
  </si>
  <si>
    <t>Columbia Univ, Lamont Doherty Geol Observ, POB 1000 61 Route 9W, Palisades, NY 10964 USA.</t>
  </si>
  <si>
    <t>jkarsten@ldeo.columbia.edu</t>
  </si>
  <si>
    <t>Karstensen, Johannes/A-8534-2013</t>
  </si>
  <si>
    <t>Karstensen, Johannes/0000-0001-5044-7079</t>
  </si>
  <si>
    <t>PII S0967-0645(01)00160-6</t>
  </si>
  <si>
    <t>10.1016/S0967-0645(01)00160-6</t>
  </si>
  <si>
    <t>546QG</t>
  </si>
  <si>
    <t>WOS:000175284400015</t>
  </si>
  <si>
    <t>Takahashi, T; Sutherland, SC; Sweeney, C; Poisson, A; Metzl, N; Tilbrook, B; Bates, N; Wanninkhof, R; Feely, RA; Sabine, C; Olafsson, J; Nojiri, Y</t>
  </si>
  <si>
    <t>Global sea-air CO2 flux based on climatological surface ocean pCO2, and seasonal biological and temperature effects</t>
  </si>
  <si>
    <t>3rd International Symposium on Climatic Changes and the Cycle of Carbon</t>
  </si>
  <si>
    <t>JUL 08-12, 2000</t>
  </si>
  <si>
    <t>NORTH PACIFIC; PARTIAL-PRESSURE; ATMOSPHERIC O-2; CARBON-DIOXIDE; ROSS SEA; VARIABILITY; SINKS; DISTRIBUTIONS; NUTRIENT; ATLANTIC</t>
  </si>
  <si>
    <t>Based on about 940,000 measurements of surface-water pCO(2) obtained since the International Geophysical Year of 1956-59, the climatological, monthly distribution of PCO2 in the global surface waters representing mean non-El Nino conditions has been obtained with a spatial resolution of 4degrees x 5degrees for a reference year 1995. The monthly and annual net sea-air CO2 flux has been computed using the NCEP/NCAR 41-year mean monthly wind speeds. An annual net uptake flux Of CO2 by the global oceans has been estimated to be 2.2 (+ 22% or -19%) Pg C yr(-1) using the (wind speed)(2) dependence of the CO2 gas transfer velocity of Wanninkhof (J. Geophys. Res. 97 (1992) 7373). The errors associated with the wind-speed variation have been estimated using one standard deviation (about+/-2ms(-1)) from the mean monthly wind speed observed over each 4degrees x 5degrees pixel area of the global oceans. The new global uptake flux obtained with the Wanninkhof (wind speed)2 dependence is compared with those obtained previously using a smaller number of measurements, about 250,000 and 550,000, respectively, and are found to be consistent within+/-0.2Pg C yr(-1). This estimate for the global ocean uptake flux is consistent with the values of 2.0 +/- 0.6 Pg C yr(-1) estimated on the basis of the observed changes in the atmospheric CO2 and oxygen concentrations during the 1990s (Nature 381 (1996) 218; Science 287 (2000) 2467). However, if the (wind speed)(3) dependence of Wanninkhof and McGillis (Res. Lett. 26 (1999) 1889) is used instead, the annual ocean uptake as well as the sensitivity to wind-speed variability is increased by about 70%. A zone between 40degrees and 60degrees latitudes in both the northern and southern hemispheres is found to be a major sink for atmospheric CO2. In these areas, poleward-flowing warm waters meet and mix with the cold subpolar waters rich in nutrients. The pCO(2) in the surface water is decreased by the cooling effect on warm waters and by the biological drawdown of pCO(2) in subpolar waters. High wind speeds over these low pCO(2) waters increase the CO2 uptake rate by the ocean waters.</t>
  </si>
  <si>
    <t>Columbia Univ, Lamont Doherty Geol Observ, Palisades, NY 10964 USA; Univ Paris 06, Lab Biogeochim &amp; Chim Marines, F-75252 Paris 05, France; Antarctic CRC, Hobart, Tas 7001, Australia; CSIRO, Marine Res, Hobart, Tas 7001, Australia; Bermuda Biol Stn Res, Ferry Reach GE 01, Bermuda; NOAA, Atlantic Oceanog &amp; Meteorol Lab, Miami, FL 33149 USA; NOAA, Pacific Marine Environm Lab, Seattle, WA 98115 USA; Univ Iceland, IS-121 Reykjavik, Iceland; Marine Res Inst, IS-121 Reykjavik, Iceland; Natl Inst Environm Studies, Global Warming Mechanism Lab, Tsukuba, Ibaraki 3050053, Japan</t>
  </si>
  <si>
    <t>Columbia University; Sorbonne Universite; Commonwealth Scientific &amp; Industrial Research Organisation (CSIRO); National Oceanic Atmospheric Admin (NOAA) - USA; Atlantic Oceanographic &amp; Meteorological Laboratory (AOML); National Oceanic Atmospheric Admin (NOAA) - USA; University of Iceland; Marine &amp; Freshwater Research Institute (MFRI); National Institute for Environmental Studies - Japan</t>
  </si>
  <si>
    <t>Columbia Univ, Lamont Doherty Geol Observ, Palisades, NY 10964 USA.</t>
  </si>
  <si>
    <t>taka@lamont.ldeo.columbia.edu</t>
  </si>
  <si>
    <t>Feely, Richard A./ABI-5740-2020; Sweeney, Colm/AAE-9291-2019; Nojiri, Yukihiro/D-1999-2010; Tilbrook, Bronte/W-4007-2019</t>
  </si>
  <si>
    <t>Nojiri, Yukihiro/0000-0001-9885-9195; Tilbrook, Bronte/0000-0001-9385-3827; Sweeney, Colm/0000-0002-4517-0797; metzl, nicolas/0000-0002-1165-1074</t>
  </si>
  <si>
    <t>PII S0967-0645(02)00003-6</t>
  </si>
  <si>
    <t>10.1016/S0967-0645(02)00003-6</t>
  </si>
  <si>
    <t>558XB</t>
  </si>
  <si>
    <t>WOS:000175992000002</t>
  </si>
  <si>
    <t>Schlitzer, R</t>
  </si>
  <si>
    <t>Carbon export fluxes in the Southern Ocean: results from inverse modeling and comparison with satellite-based estimates</t>
  </si>
  <si>
    <t>DISSOLVED ORGANIC-CARBON; CIRCULATION; NUTRIENT; ATLANTIC; DENITRIFICATION; PHYTOPLANKTON; NITROGEN; MATTER; CO2; TEMPERATURE</t>
  </si>
  <si>
    <t>The use of dissolved nutrients and carbon for photosynthesis in the euphotic zone and the subsequent downward transport of particulate and dissolved organic material strongly affect carbon concentrations in surface water and thus the air-sea exchange Of CO2. Efforts to quantify the downward carbon flux for the whole ocean or on basin-scales are hampered by the sparseness of direct productivity or flux measurements. Here, a global ocean circulation,biogeochemical model is used to determine rates of export production and vertical carbon fluxes in the Southern Ocean. The model exploits the existing large sets of hydrographic, oxygen, nutrient and carbon data that contain information on the underlying biogeochemical processes. The model is fitted to the data by systematically varying circulation, air-sea fluxes, production, and remineralization rates simultaneously. Use of the adjoint method yields model property simulations that are in very good agreement with measurements. In the model, the total integrated export flux of particulate organic matter necessary for the realistic reproduction of nutrient data is significantly larger than export estimates derived from primary productivity maps. Of the 10,000 TgC yr(-1) (10 GtC yr(-1)) required globally, the Southern Ocean south of 30degreesS contributes about 3000 TgC yr(-1) (33%), most of it occurring in a zonal belt along the Antarctic Circumpolar Current and in the Peru, Chile and Namibia coastal upwelling regions. The export flux of POC for the area south of 50degreesS amounts to 1000 +/- 210 TgC yr(-1), and the particle flux in 1000 m for the same area is 115 +/- 20 TgC yr(-1). Unlike for the global ocean, the contribution of the downward flux of dissolved organic carbon is significant in the Southern Ocean in the top 500 m of the water column. Comparison with satellite-based productivity estimates (CZCS and SeaWiFS) shows a relatively good agreement over most of the ocean except for the Southern Ocean south of 50degreesS, where the model fluxes are systematically higher than the satellite-based values by factors between 2 and 5. This discrepancy is significant, and an attempt to reconcile the low satellite-derived productivity values with ocean-interior nutrient budgets failed. Too low productivity estimates from satellite chlorophyll observations in the polar and sub-polar Southern Ocean could arise because of the inability of the satellite sensors to detect frequently occurring sub-surface chlorophyll patches, and to a poor calibration of the conversion algorithms in the Southern Ocean because of the very limited amount of direct measurements. (C) 2002 Elsevier Science Ltd. All rights reserved.</t>
  </si>
  <si>
    <t>Alfred Wegener Inst Polar &amp; Marine Res, Postfach 120161, D-27515 Bremerhaven, Germany.</t>
  </si>
  <si>
    <t>rschlitzer@awi-bremerhaven.de</t>
  </si>
  <si>
    <t>PII S0967-0645(02)00004-8</t>
  </si>
  <si>
    <t>10.1016/S0967-0645(02)00004-8</t>
  </si>
  <si>
    <t>WOS:000175992000003</t>
  </si>
  <si>
    <t>Nelson, DM; Anderson, RF; Barber, RT; Brzezinski, MA; Buesseler, KO; Chase, Z; Collier, RW; Dickson, ML; François, R; Hiscock, MR; Honjo, S; Marra, J; Martin, WR; Sambrotto, RN; Sayles, FL; Sigmon, DE</t>
  </si>
  <si>
    <t>Vertical budgets for organic carbon and biogenic silica in the Pacific sector of the Southern Ocean, 1996-1998</t>
  </si>
  <si>
    <t>ANTARCTIC POLAR FRONT; EQUATORIAL PACIFIC; EXPORT PRODUCTION; ARABIAN SEA; PRIMARY PRODUCTIVITY; NITROGEN-PRODUCTION; BIOLOGICAL PUMP; ATLANTIC SECTOR; SEDIMENT TRAPS; NORTH-ATLANTIC</t>
  </si>
  <si>
    <t>During the 1996-1998 Antarctic Environment and Southern Ocean Process Study (AESOPS), a component of US JGOFS, we obtained seasonal or longer-term data sets on the rates of production, vertical transport, remineralization and burial of particulate organic carbon (POC) and biogenic silica (BSiO2) in the Southern Ocean at 170degreesC between 55degreesS and 68degreesS. The AESOPS data records enable us to construct vertical C and Si budgets for the water column and upper sediments, with all estimates derived from direct measurement of the relevant fluxes. We constructed annual C and Si budgets for each of four ecologically distinct zonal bands within the system. For both POC and BSiO2 the greatest annual delivery to the sea floor (similar to200 and 1400 mmol m(-2) yr(-1), respectively) and burial (similar to6 and 160 mmol m(-2) yr(-1), respectively) were observed in the southern Antarctic Circumpolar Current (ACC) between 61.5degreesS and 65.5degreesS. That pattern is consistent with our observation that a diatom bloom propagated southward through the southern ACC during the spring and summer of 1997-1998, following the receding ice edge, and that this bloom was the main source of both POC and BSiO2 in the system on an annual basis. In the other zones the annual fluxes of POC and BSiO2 to the sea floor ranged from 19% to 67% of those in the zone traversed by the summer diatom bloom. The higher benthic fluxes of both POC and BSiO2 in the southern ACC imply that blooms similar to the one we observed in 1997-1998 occur commonly in the southern ACC, and that their high-productivity signature is transmitted to the sea floor. The data show preferential preservation of BSiO2 over POC throughout the water column and upper seabed. In the four zonal bands we consider, BSiO2 and POC are produced in mole ratios of 0.1-0.4, exported from the upper 100 m in ratios of 0.2-0.6, arrive at 1000 m in ratios of 1.5-4.5, reach the sea floor in ratios of 2.2-7.6, and are buried in ratios of 11.6-28. Despite the preferential preservation of BSiO2 accumulation of opal-rich sediments beneath the ACC does not result from unusually efficient preservation of siliceous material. The estimated BSiO2 preservation efficiency (burial-production) ranges from 1.2% to 5.5%, indistinguishable from the global average of 3%. Instead, opal-rich sediment accumulation in this region reflects very high annual rates of BSiO2 production in surface waters, along with very low accumulation rates of other sedimentary components (e.g., CaCO3 and detrital material). The observed high ratios of BSiO2 production to POC production in surface waters are consistent with the known tendency for the Si/C ratio of diatoms to increase when [Fe] is low. If greater Fe availability during the last glacial maximum permitted diatoms in the Southern Ocean to grow with lower, more normal Si/C ratios, export of diatom-produced POC could have occurred at 2-3 times its present rate. A corresponding increase in opal export or opal sediment accumulation is unlikely because silicic acid is almost totally depleted north of 65degreesS under present conditions. Thus, even large increases in POC production and export during glacial periods would not be reflected in the opal accumulation record. (C) 2002 Elsevier Science Ltd. All rights reserved.</t>
  </si>
  <si>
    <t>Oregon State Univ, Coll Ocean &amp; Atmospher Sci, Corvallis, OR 97331 USA; Columbia Univ, Lamont Doherty Geol Observ, Palisades, NY 10964 USA; Duke Univ, Marine Lab, Beaufort, NC 28516 USA; Univ Calif Santa Barbara, Dept Ecol Evolut &amp; Marine Biol, Santa Barbara, CA 93106 USA; Woods Hole Oceanog Inst, Woods Hole, MA 02543 USA; Univ Rhode Isl, Grad Sch Oceanog, Narragansett, RI 02882 USA</t>
  </si>
  <si>
    <t>Oregon State University; Columbia University; Duke University; University of California System; University of California Santa Barbara; Woods Hole Oceanographic Institution; University of Rhode Island</t>
  </si>
  <si>
    <t>Oregon State Univ, Coll Ocean &amp; Atmospher Sci, Corvallis, OR 97331 USA.</t>
  </si>
  <si>
    <t>nelsonda@coas.oregonstate.edu</t>
  </si>
  <si>
    <t>; Chase, Zanna/E-9232-2013</t>
  </si>
  <si>
    <t>Che, Yangli/0000-0001-7795-5487; Anderson, Robert/0000-0002-8472-2494; Chase, Zanna/0000-0001-5060-779X</t>
  </si>
  <si>
    <t>PII S0967-0645(02)00005-X</t>
  </si>
  <si>
    <t>10.1016/S0967-0645(02)00005-X</t>
  </si>
  <si>
    <t>WOS:000175992000004</t>
  </si>
  <si>
    <t>Arístegui, J; Denis, M; Almunia, J; Montero, MF</t>
  </si>
  <si>
    <t>Water-column remineralization in the Indian sector of the Southern Ocean during early spring</t>
  </si>
  <si>
    <t>DISSOLVED ORGANIC-CARBON; ELECTRON-TRANSPORT ACTIVITY; ETS ACTIVITY; MARINE PHYTOPLANKTON; SURFACE WATERS; WEDDELL SEA; DEEP-OCEAN; ICE EDGE; MATTER; FLUX</t>
  </si>
  <si>
    <t>The vertical distribution of remineralization assessed through the respiratory activity of the electron transport system (ETS) in microbial communities (&lt;200 mum) was studied from surface to 1000m depth, at seven stations along a latitudinal gradient extending from the Polar Front region (49degreesS) to the ice edge (59degreesS) at 62degreesE, during October 1995. A net imbalance between primary production and water-column remineralization occurred in the area of influence of the Polar Front (from 49degreesS to 53degreesS), while near the ice edge both processes were in approximate equilibrium. In the Polar Front region, community respiration in the mixed layer (15-35 mmol Cm-2 day(-1)) exceeded primary production (10-11 mmol Cm-2 day(-1)), while remineralization in the 200-1000 m, although variable (2-9 mmol Cm-2 day(-1)), was considerably higher than export production (&lt;1 mmol cm(-2) day(-1)) measured with drifting sediment traps during the same study. This imbalance can be explained by advection of organic matter from the Crozet Plateau where phytoplankton blooms are produced year round, presumably enhanced by iron enrichment. The surface transport would be secured by strong current jets created by fragmentation of the Antarctic Circumpolar Current at the Southwest Indian Ridge. Relatively high respiration rates found below 500m support also the occurrence of a deep transport of organic matter. Our results suggest that dissolved organic carbon might be the main source of organic matter advected to the region during the period of study. The average value of export production of organic carbon calculated from ETS activity and extrapolated to an annual basis (similar to1.5 mol Cm-2 yr(-1)), represents about 25% of recent estimates of annual gross primary production in the Southern Ocean. (C) 2002 Elsevier Science Ltd. All rights reserved.</t>
  </si>
  <si>
    <t>Univ Las Palmas Gran Canaria, Fac Ciencias Mar, Las Palmas Gran Canaria 35017, Spain; Parc Sci &amp; Technol Luminy, Lab Oceanog &amp; Biogeochim, F-13288 Marseille 09, France</t>
  </si>
  <si>
    <t>Universidad de Las Palmas de Gran Canaria; Aix-Marseille Universite</t>
  </si>
  <si>
    <t>Arístegui, J (corresponding author), Univ Las Palmas Gran Canaria, Fac Ciencias Mar, Las Palmas Gran Canaria 35017, Spain.</t>
  </si>
  <si>
    <t>Arístegui, Javier/D-5833-2013; Almunia, Javier/ABE-1890-2021</t>
  </si>
  <si>
    <t>Arístegui, Javier/0000-0002-7526-7741; Almunia, Javier/0000-0001-6343-1463; , Maria F. Montero ; Maria Fernanda Montero/0000-0001-8124-8136</t>
  </si>
  <si>
    <t>PII S0967-0645(02)00008-5</t>
  </si>
  <si>
    <t>10.1016/S0967-0645(02)00008-5</t>
  </si>
  <si>
    <t>WOS:000175992000007</t>
  </si>
  <si>
    <t>Fischer, G; Gersonde, R; Wefer, G</t>
  </si>
  <si>
    <t>Organic carbon, biogenic silica and diatom fluxes in the marginal winter sea-ice zone and in the Polar Front Region: interannual variations and differences in composition</t>
  </si>
  <si>
    <t>LAST-GLACIAL-MAXIMUM; SOUTHERN-OCEAN; ANTARCTIC DIATOMS; PARTICLE FLUXES; WEDDELL SEA; PHYTOPLANKTON; IRON; CO2; WATERS; GROWTH</t>
  </si>
  <si>
    <t>Particle fluxes and composition were examined over 5 years at two mooring sites in the Polar Front Region (site PF: 50degrees09.S, 5degrees50.E) and in the marginal winter sea-ice zone (site BO: 54degrees30.S, 3degrees20W) in the eastern Atlantic Sector of the Southern Ocean. Seasonality, interannual variability and the magnitude of total mass fluxes were higher at site BO compared to PIT. Five-year averages and standard deviations (1sigma) of total mass fluxes were 19.6+/-18.5 and 24.8+/-29.9 gm(-2) at PF and BO, respectively. Peak fluxes at site BO occurred in January 1995, but the highest peak was measured in February 1991 (almost 1300 mg m(-2) d(-1)) followed by post-bloom sedimentation in March through May. This would imply a time shift of several months between the onset of sea-ice retreat in October and major sedimentation events recorded in January/February with the upper BO traps. At site PF, highest fluxes of about 500 mg m-2 d-1 were found between December and March. Blooms at site BO, influenced by sea ice as indicated by diatom species composition, seem to occur more sporadically (e.g., in 1991 and 1995). Annual diatom fluxes were 11.8 X 10(6) and 20 x 10(6) valves m(-2) during the deployments PF3 (1990) and BO1 (1991), respectively. At PF3, Fragilariopsis kerguelensis (37%) and Thalassionema nitzschioides fo1 (26.5%) dominated diatom flux, while F. kerguelensis (29%) and sea-ice-related algae (40%) were the main contributors to total diatom flux at site BO. During deployment BO 1, the bloom collected in February was characterized by a very high molar Si:C of 8.8 that decreased almost continuously during the post-bloom phase, reaching a value of I in May. This change, however, was not documented in diatom species composition. We obtained a significant linear increase of biogenic opal with organic carbon fluxes at site PF and a highly significant but exponential relationship at site BO. Higher annual total mass fluxes were recorded at site BO, primarily due to elevated opal and lithogenic fluxes, corresponding to a higher silicate availability in the southern Antarctic Circumpolar Current. In contrast, higher mean organic carbon fluxes were obtained at site PF in accordance with elevated primary production and biomass. We obtained a three-fold higher molar Si:C ratio (5-year mean) for sinking particles collected with the upper BO traps (Si:C = 4.0) compared to the PF (Si:C = 1.3), consistent with the general pattern of Si and Fe availability. In particular at site BO, the Si:C ratios were usually high, even when accounting for organic carbon decay and biogenic silica (BSi) dissolution in the upper water column. At this study site, the Si:C ratios increased with lithogenic fluxes. (C) 2002 Elsevier Science Ltd. All rights reserved.</t>
  </si>
  <si>
    <t>Univ Bremen, Fachbereich Geowissensch, D-28359 Bremen, Germany; Alfred Wegener Inst Polar &amp; Marine Res, D-27568 Bremenhaven, Germany</t>
  </si>
  <si>
    <t>University of Bremen; Helmholtz Association; Alfred Wegener Institute, Helmholtz Centre for Polar &amp; Marine Research</t>
  </si>
  <si>
    <t>Fischer, G (corresponding author), Univ Bremen, Fachbereich Geowissensch, Klagenfurter Str, D-28359 Bremen, Germany.</t>
  </si>
  <si>
    <t>Wefer, Gerold/S-2291-2016</t>
  </si>
  <si>
    <t>Wefer, Gerold/0000-0002-6803-2020</t>
  </si>
  <si>
    <t>PII S0967-0645(02)00009-7</t>
  </si>
  <si>
    <t>10.1016/S0967-0645(02)00009-7</t>
  </si>
  <si>
    <t>WOS:000175992000008</t>
  </si>
  <si>
    <t>Sigmon, DE; Nelson, DM; Brzezinski, MA</t>
  </si>
  <si>
    <t>The Si cycle in the Pacific sector of the Southern Ocean: seasonal diatom production in the surface layer and export to the deep sea</t>
  </si>
  <si>
    <t>GROWTH-RATES; PHYTOPLANKTON; LIMITATION; PROGRESSION; DYNAMICS; SILICA; ZONE</t>
  </si>
  <si>
    <t>Dissolved silicic acid (Si(OH)(4)) and biogenic silica (BSiO2) concentrations were measured on four different cruises in the Southern Ocean along 170degreesW from late October 1997 to mid-March 1998. These data were used to construct a vertically integrated Si budget in the surface layer from 58degrees to 68degreesS. Throughout that period there was a distinct, southward-moving meridional [Si(OH)(4)] gradient, with concentrations increasing to the south. In October the gradient was centered on the Antarctic Polar Front (APF) at 6 I'S. Surface layer [Si(OH)(4)] increased from 10 to &gt; 40 mmol m(-3) between 58degrees and 62degreesS, while BSiO2 concentrations were &lt;1. 5 mmol Si m(-3) and &lt; 125 mmol m(-2) throughout the study area. As the surface mixed layer stratified and shoaled in December, diatoms bloomed in response to the more favorable light conditions, consuming Si(OH)4 in the process. By late December BSiO2 concentrations were exceptionally high for the open ocean, with maximum integrated values of 700 mmol Si m(-2) around 62degreesS, while vertically integrated [Si(OH)(4)] in the upper 50m had dropped from 2500 to 870 mmol m(-2), an average decrease of &gt;30 mmol Si m(-3). The diatom bloom persisted into January with maximum integrated BSiO2 of 600 mmol m-2 between 64degrees and 65degreesS, while [Si(OH)(4)] was depleted to &lt; 2 mmol m-3 in surface waters as far south as 64.5degreesS. The center of the [Si(OH)(4)] gradient had moved southward to 65degreesS by late January, coincident with maximal diatom biomass at that time. The bloom ended by March with the disappearance of most of the diatom biomass from the surface layer, deeper mixed layers, and increased [Si(OH)(4)]. By late January, diatom production had removed &gt;70% of the of Si(OH)(4) initially present in the upper 50 m everywhere north of 65degreesS, and had displaced the [Si(OH)(4)] gradient &gt;400km southward, while the APF remained stationary. Between November and late January (similar to80 days), an average of 2200 mmol Si m-2 had been removed from the upper 50m between 61degrees and 65degreesS. Based on changes in vertically integrated Si(OH)(4) and BSiO2 concentrations between November and March, an average of 2 mol Si m(-2) was exported from the upper 50m between 61degrees and 65degreesS, with 59% of that export occurring between late December and late January. The observed seasonal export is very high in comparison with other oceans, and the high export coincides spatially with a well-documented zone of high opal flux to 1000 m and high opal content in modern sediments. North of 61degreesS BSiO2 export was limited by the low initial standing stock of Si(OH)(4) in surface waters, and south of 65degreesS export was likely limited by the shorter growing season. Thus, the combined effect of a large initial supply of Si(OH)(4) in surface waters and conditions that permit efficient use of that Si by diatoms appears to be the primary cause of opal-rich sediment accumulation in the Pacific sector of the Southern Ocean. (C) 2002 Elsevier Science Ltd. All rights reserved.</t>
  </si>
  <si>
    <t>Oregon State Univ, Coll Ocean &amp; Atmospher Sci, Corvallis, OR 97331 USA; Univ Calif Santa Barbara, Inst Marine Sci, Santa Barbara, CA 93106 USA; Univ Calif Santa Barbara, Dept Ecol Evolut &amp; Marine Biol, Santa Barbara, CA 93106 USA</t>
  </si>
  <si>
    <t>Oregon State University; University of California System; University of California Santa Barbara; University of California System; University of California Santa Barbara</t>
  </si>
  <si>
    <t>PII S0967-0645(02)00010-3</t>
  </si>
  <si>
    <t>10.1016/S0967-0645(02)00010-3</t>
  </si>
  <si>
    <t>WOS:000175992000009</t>
  </si>
  <si>
    <t>Quéguiner, B; Brzezinski, MA</t>
  </si>
  <si>
    <t>Biogenic silica production rates and particulate organic matter distribution in the Atlantic sector of the Southern Ocean during austral spring 1992</t>
  </si>
  <si>
    <t>ICE-EDGE ZONE; ROSS SEA; ANTARCTIC PHYTOPLANKTON; LIMITING NUTRIENT; WATER-COLUMN; WEDDELL SEA; DIATOMS; IRON; DISSOLUTION; CARBON</t>
  </si>
  <si>
    <t>Several of the components of the silicon cycle - orthosilicic acid (Si(OH)(4)), biogenic silica (BSi), and biogenic silica production rates (pSi)-have been investigated, together with the distribution of particulate organic carbon (POC), particulate organic nitrogen (PON) and carbon primary production (rhoC), on a series of transects across three subsystems in the Atlantic sector of the Southern Ocean (6degreesW): the seasonal ice zone (SIZ), the permanently open ocean zone (POOZ), and the southern boundary of the polar frontal zone (PFZ). The study was conducted in Spring 1992 as part of the European SO-JGOFS cruise aboard the R.V. Polarstern. High BSi concentrations (maximum: 11.7 mumol Si l(-1)) were recorded in late November at the southern border of the PFZ. In contrast, no large BSi biomass was found in the other subsystems studied. In the SIZ, no diatom bloom was observed, despite a sea-ice retreat of 200 km during the study period, and BSi biomass never exceeded 0.6 tmol Si l(-1). The POOZ also showed very low BSi biomass (&lt; 0.5 mumol Si l(-1)), and low BSi/POC molar ratios from the surface to 200 m (0.04-0.06 at 53degreesS) suggest that this was an area where phytoplankton were not dominated by siliceous organisms. At the southern border of the PFZ, BSi/POC molar ratios were among the highest ever recorded in the surface waters of the Southern Ocean (maximum: 1.33). This could be a result of the presence of heavily silicified diatoms or also could reflect a more rapid recycling of POC as compared to BSi. High concentrations of BSi (&gt;1.5 mumol Si l(-1)) extended well below the euphotic zone to 200 m depth between 49degreesS and 51degreesS, suggesting significant sedimentation of siliceous particles in that area. High values of pSi also were observed in the PFZ (29.6-60.7 mmol Si m(-2) d(-1), during the production maximum) indicating that this subsystem is important in the biogeochemical budget of the Southern Ocean. High depth-integrated rhoSi/rhoC (0.25-0.46) and BSi/POC (0.53-0.85) in the PFZ imply the production of diatoms rich in silica compared to organic matter. The high rates of silica production observed in the PFZ support the recent hypothesis that the formation of the abyssal siliceous oozes that encircle much of Antartica form primarily as the result of high levels of silica production in surface waters rather than as a result of high rates of opal preservation as has been suggested in the past. (C) 2002 Elsevier Science Ltd. All rights reserved.</t>
  </si>
  <si>
    <t>Ctr Oceanol Marseille, Lab Oceanog &amp; Biogeochim, UMR CNRS 6535, F-13288 Marseille 9, France; Univ Calif Santa Barbara, Dept Ecol Evolut &amp; Marine Biol, Santa Barbara, CA 93106 USA; Univ Calif Santa Barbara, Inst Marine Sci, Santa Barbara, CA 93106 USA</t>
  </si>
  <si>
    <t>Centre National de la Recherche Scientifique (CNRS); University of California System; University of California Santa Barbara; University of California System; University of California Santa Barbara</t>
  </si>
  <si>
    <t>Quéguiner, B (corresponding author), Ctr Oceanol Marseille, Lab Oceanog &amp; Biogeochim, UMR CNRS 6535, Parc Sci &amp; Technol Luminy,Case 901, F-13288 Marseille 9, France.</t>
  </si>
  <si>
    <t>Quéguiner, Bernard/B-4060-2008</t>
  </si>
  <si>
    <t>Quéguiner, Bernard/0000-0001-5020-8297</t>
  </si>
  <si>
    <t>PII S0967-0645(02)00011-5</t>
  </si>
  <si>
    <t>10.1016/S0967-0645(02)00011-5</t>
  </si>
  <si>
    <t>WOS:000175992000010</t>
  </si>
  <si>
    <t>Saggiomo, V; Catalano, G; Mangoni, O; Budillon, G; Carrada, GC</t>
  </si>
  <si>
    <t>Primary production processes in ice-free waters of the Ross Sea (Antarctica) during the austral summer 1996</t>
  </si>
  <si>
    <t>PHYTOPLANKTON BIOMASS; BRANSFIELD STRAIT; SOUTHERN-OCEAN; SPATIAL PATTERNS; PHOTOSYNTHESIS; BLOOMS; DISTRIBUTIONS; PARAMETERS; REGION; LIGHT</t>
  </si>
  <si>
    <t>During austral summer 1996 (January 11-February 10) oceanographic studies were conducted in the ice-free waters of the Ross Sea within the framework of the Italian National Programme for Antarctic Research (PNRA). Thirty-eight hydrological stations within 72.5degrees-78.0degreesS and 164.5degreesE-175.0degreesW were sampled. Size-fractionated photosynthetic pigments were measured at all stations, primary production was evaluated at 24 stations, and P vs. E measurements were carried out at 3 or 4 depths at 18 stations. In the open Ross Sea, integrated chlorophyll a (Chla) concentrations were between 15 and 102 mg m(-2) in the 0-100 m layer, and primary production was between 124 and 638 mgC m(-2) d(-1). Offshore waters were completely ice-free and the water column was only slightly stratified. However, phytoplankton biomass and production were relatively high wherever the Upper Mixed Layer (UML) was &lt;30 m deep. Hydrographic characters and phytoplankton distribution varied remarkably along the coastal waters of Terra Nova Bay; during a late summer bloom, integrated primary production ranged between 620 and 2411 mgC m(-2) d(-1). The dimensional composition of phytoplankton communities and the Redfield ratio indicate that the Ross Sea was dominated by diatoms. The photosynthetic parameters measured suggest the importance of the depth and dynamics of the UML, where the integrated mean irradiance always exceeded the photosaturation index (E-k). However, occasionally different P-max(B) and E-k were recorded even in apparently well-mixed water columns. The presence of turbulent cells in different layers of the photic zone or a weak wind-driven vertical mixing, which might induce different photosynthetic indexes, can thus be hypothesized. Simulated in situ primary production was well correlated with production calculated with the photosynthetic coefficients obtained from the P vs. E experiments. Our data could be used to construct models aimed at assessing primary production in the area studied. (C) 2002 Published by Elsevier Science Ltd.</t>
  </si>
  <si>
    <t>Staz Zool Anton Dohrn, Lab Oceanog Biol, I-80121 Naples, Italy; CNR, Ist Sperimentale Talassografico, I-34123 Trieste, Italy; Univ Naples Federico 2, Dipartimento Zool, I-80134 Naples, Italy; Ist Univ Navale, Ist Meteorol &amp; Oceanog, I-80133 Naples, Italy</t>
  </si>
  <si>
    <t>Stazione Zoologica Anton Dohrn di Napoli; Consiglio Nazionale delle Ricerche (CNR); University of Naples Federico II; University of Naples Federico II</t>
  </si>
  <si>
    <t>Saggiomo, V (corresponding author), Staz Zool Anton Dohrn, Lab Oceanog Biol, Villa Communale, I-80121 Naples, Italy.</t>
  </si>
  <si>
    <t>saggiomo@alpha.szn.it</t>
  </si>
  <si>
    <t>PII S0967-0645(02)00012-7</t>
  </si>
  <si>
    <t>10.1016/S0967-0645(02)00012-7</t>
  </si>
  <si>
    <t>WOS:000175992000011</t>
  </si>
  <si>
    <t>Park, YH; Pollard, RT; Read, JF; Leboucher, V</t>
  </si>
  <si>
    <t>A quasi-synoptic view of the frontal circulation in the Crozet Basin during the Antares-4 cruise</t>
  </si>
  <si>
    <t>SOUTH INDIAN-OCEAN; ANTARCTIC CIRCUMPOLAR CURRENT; TOPEX/POSEIDON; VARIABILITY; ALTIMETRY; TRANSPORT; AFRICA</t>
  </si>
  <si>
    <t>With the major objective of estimating the secondary vertical circulation, a fine-grid survey of hydrographic and current fields across the Crozet Basin frontal zone was made as a physical component of the multidisciplinary Antares-4 cruise. This frontal zone forms the boundary of the Antarctic Circumpolar Current and the Agulhas Return Current, with the quasi-permanent existence of strong eddy activity. Prior to any quantitative diagnosis of the vertical circulation from the fine-grid data, it is necessary to place the mesoscale circulation and its time variability of the survey area within the basin-wide context. We give a quasi-synoptic view of the ambient frontal circulation during the cruise period, using satellite-derived chlorophyll concentrations and sea-surface temperature. Particular emphasis is placed on evaluation of the degree of synopticity of our fine-grid measurements by comparing mesoscale features on satellite images. The limited survey area (1.5degrees latitude x 2degrees longitude) ties precisely within the southernmost and easternmost convergent zone of the two current systems, cutting across mesoscale meanders having typical wavelengths of 400 km and periods of 4 months. Both these satellite images and TOPEX/POSEIDON sea-surface height data indicate little temporal variability of the survey area during the 14 days of measurement. Although fortuitous, this quasi-steady state of circulation enables us to use the ensemble of fine-grid data as a set of synoptic data for diagnosing the vertical circulation using quasi-geostrophic dynamics. Preliminary analysis of the horizontal and vertical hydrographic structure of the fine-grid hints at the existence of wave-like cross-frontal intrusions having a mean along-front wavelength of about 30 km. (C) 2002 Elsevier Science Ltd. All rights reserved.</t>
  </si>
  <si>
    <t>Museum Natl Hist Nat, Lab Oceanog Phys, F-75005 Paris, France; Southampton Oceanog Ctr, Southampton SO14 3ZH, Hants, England; Univ Paris 06, Inst Pierre Simen Laplace, F-75005 Paris, France</t>
  </si>
  <si>
    <t>Museum National d'Histoire Naturelle (MNHN); NERC National Oceanography Centre; University of Southampton; Sorbonne Universite</t>
  </si>
  <si>
    <t>Park, YH (corresponding author), Museum Natl Hist Nat, Lab Oceanog Phys, 43 Rue Cuvier, F-75005 Paris, France.</t>
  </si>
  <si>
    <t>PII S0967-0645(02)00014-0</t>
  </si>
  <si>
    <t>10.1016/S0967-0645(02)00014-0</t>
  </si>
  <si>
    <t>WOS:000175992000013</t>
  </si>
  <si>
    <t>Landry, MR; Selph, KE; Brown, SL; Abbott, MR; Measures, CI; Vink, S; Allen, CB; Calbet, A; Christensen, S; Nolla, H</t>
  </si>
  <si>
    <t>Seasonal dynamics of phytoplankton in the Antarctic Polar Front region at 170°W</t>
  </si>
  <si>
    <t>CENTRAL EQUATORIAL PACIFIC; SATELLITE OCEAN COLOR; SUB-ARCTIC PACIFIC; MARGINAL ICE-ZONE; SOUTHERN-OCEAN; ATLANTIC SECTOR; IRON LIMITATION; GRAZING IMPACT; ORGANIC-CARBON; MICROZOOPLANKTON</t>
  </si>
  <si>
    <t>Phytoplankton dynamics in the region of 55-70degreesS, 170degreesW were investigated using Sea-viewing Wide Field-of-View Sensor satellite imagery, shipboard sampling and experimental rate assessments during austral spring and summer, 1997-1998. We used image-analysis microscopy to characterize community biomass and composition, and dilution experiments to estimate growth and microzooplankton grazing rates. Iron concentrations were determined by flow-injection analysis. The phytoplankton increase began slowly with the onset of stratification at the Polar Front (PF) (60-61degreesS) in early November. Seasonally enhanced levels of chlorophyll were found as far north as 58degreesS, but mixed-layer phytoplankton standing stock was highest, approaching 200 mg C m(-3), in the region between the receding ice edge and a strong silicate gradient, which migrated from similar to62degreesS to 65degreesS during the study period. The most southern stations sampled on four cruises were characterized by small pennate diatoms and Phaeocystis. From the PF to the Southern Antarctic circumpolar current front (similar to65degreesS), this ice margin assemblage was seasonally replaced by a community dominated by large diatoms. The large diatom community developed only in waters where measured iron concentrations were initially high (greater than or equal to0.2 nM), and crashed when dissolved silicate was depleted to low levels. Phytoplankton growth rates were highest (0.5-0.6 d(-1)) between the PF and silicate front (60degreesS and 63degreesS) in December. In January, growth rates were lowest (0.1 d(-1)) near the PF, and the highest rates (0.34.4 d(-1)) were found in experiments between 64.8degreesS and 67.8degreesS. Phytoplankton production estimates were highest south of the PF through December and January, averaging 2.2-2.4 mmol C m(-3) d(-1) and reaching levels of 5 mmol cm(-3) d(-1) (64.8degreesS and 67.8degreesS in January). Microzooplankton grazers consumed 54-95% of production for experiments conducted on four AESOPS cruises. They were less efficient in balancing growth rates during the time of highest phytoplankton growth and increase in December, and most efficient in February-March, after the large diatom bloom had collapsed. The diatom bloom region in the present study is in an upwelling zone for Antarctic circumpolar deep water with high iron content. This may explain why this marginal ice zone differs from others where blooms have not been observed. (C) 2002 Published by Elsevier Science Ltd.</t>
  </si>
  <si>
    <t>Univ Hawaii Manoa, Dept Oceanog, Honolulu, HI 96822 USA; Oregon State Univ, Coll Ocean &amp; Atmospher Sci, Corvallis, OR 97331 USA; Inst Ciencias Mar, Barcelona 08039, Spain; Univ Calif Berkeley, Canc Res Lab, Berkeley, CA 94720 USA</t>
  </si>
  <si>
    <t>University of Hawaii System; University of Hawaii Manoa; Oregon State University; Consejo Superior de Investigaciones Cientificas (CSIC); CSIC - Centro Mediterraneo de Investigaciones Marinas y Ambientales (CMIMA); CSIC - Instituto de Ciencias del Mar (ICM); University of California System; University of California Berkeley</t>
  </si>
  <si>
    <t>Univ Hawaii Manoa, Dept Oceanog, 1000 Pope Rd, Honolulu, HI 96822 USA.</t>
  </si>
  <si>
    <t>landry@soest.hawaii.edu</t>
  </si>
  <si>
    <t>Abbott, Mark R/J-8445-2016; Landry, Michael/HGF-1043-2022; Vink, Sue/J-7938-2012; Calbet, Albert/A-7779-2008</t>
  </si>
  <si>
    <t>Vink, Sue/0000-0002-0303-7699; Calbet, Albert/0000-0003-1069-212X; Selph, Karen/0000-0001-7281-4706</t>
  </si>
  <si>
    <t>PII S0967-0645(02)00015-2</t>
  </si>
  <si>
    <t>10.1016/S0967-0645(02)00015-2</t>
  </si>
  <si>
    <t>WOS:000175992000014</t>
  </si>
  <si>
    <t>Fiala, M; Machado, MC; Oriol, L</t>
  </si>
  <si>
    <t>Phytoplankton distribution in the Indian sector of the Southern Ocean during spring</t>
  </si>
  <si>
    <t>SIZE-FRACTIONATED PHYTOPLANKTON; MARGINAL ICE-ZONE; PARTICULATE ORGANIC-MATTER; NORTHWESTERN WEDDELL SEA; ANTARCTIC OCEAN; TAXONOMIC COMPOSITION; PRIMARY PRODUCTIVITY; SPECIES COMPOSITION; COMMUNITY STRUCTURE; KERGUELEN ISLANDS</t>
  </si>
  <si>
    <t>During October 1995 the dynamics of phytoplankton were investigated in the Indian sector of the Southern Ocean along a 62degreesE meridian transect between 49degrees00'S and 58degrees50'S. During spring, chlorophyll a (chl a) concentrations did not exhibit a large spatial variability. The highest chl a concentrations (0.30-0.45 mg m(-3)) were encountered in the surface water of the marginal ice zone (MIZ) and the polar frontal zone (PFZ), while in the permanent open-ocean zone (POOZ) maximum values were always &lt;0.30 mg m(-3). Total integrated chl a progressively decreased from South to North and again increased at the margin of the PFZ. Chl a stock values were 61 mg m(-2) at the ice edge, from 40 to 52 mg m(-2) in the POOZ, and 57 mg m(-2) in the PFZ. Chlorophyll a-size fractionation indicated that autotrophic communities were dominated by picoplankton (size &lt;2 mum) in the permanent ice-free regions (POOZ and PFZ) where it contributed 50-61% of the chl a stock. The &gt;10 mum size-fraction was dominant at the ice edge with a contribution of 42%, whereas in the POOZ and the PFZ it accounted for 21-31% of the total chl a stock. Over the transect, the nucleic acid stocks varied from 3 31 to 547 mg DNA m(-2) and 190 to 681 mg RNA m(-2). Their distribution exhibited the same general pattern as chl a, with the highest values in the MIZ and PFZ. Autotrophic phytoplankton abundance as measured by flow cytometry did not show spatial variability. Cell numbers ranged from 0.8 to 6 x 10(6) 1(-1) in the upper 200 m, and the maximum was observed in the PFZ surface waters. The comparison of the present spring data with summer 1994 data obtained at the same sites (J. Mar. Syst. 17 (1998) 179-194) indicates that the spatial distribution of chl a concentration showed the same pattern. In both seasons the highest chl a concentrations were encountered in the MIZ and PFZ. However, in the whole area spring chl a stock was on average 1.5-3 times as high as summer stock. Distribution of size-fractionated phytoplankton was similar during spring and summer. In the POOZ and PFZ the picosize fraction was always dominant, accounting for more than 50% of chl a stock. In contrast cells &gt;10 mum were always dominant in the MIZ. Despite vertical water stratification due to ice melting and low grazing pressure the chl a concentrations remained low (&lt;0.5 mg m(-3)) during spring and summer in the MIZ. Our data show that a spatially complex phytoplankton field characterized the ice-edge. This suggests that in exposed open-ocean regions other environmental factors, such as wind forcing, could induce a rapid horizontal dispersion of meltwater that would prevent phytoplankton enhancement. (C) 2002 Elsevier Science Ltd. All rights reserved.</t>
  </si>
  <si>
    <t>Univ Paris 06, Observ Oceanol Banyuls, UMR CNRS 7621, F-66651 Banyuls sur Mer, France; Univ Santa Ursula, Inst Ciencias Biol &amp; Ambientais, BR-22231010 Rio De Janeiro, Brazil</t>
  </si>
  <si>
    <t>Fiala, M (corresponding author), Univ Paris 06, Observ Oceanol Banyuls, UMR CNRS 7621, BP 44, F-66651 Banyuls sur Mer, France.</t>
  </si>
  <si>
    <t>PII S0967-0645(02)00016-4</t>
  </si>
  <si>
    <t>10.1016/S0967-0645(02)00016-4</t>
  </si>
  <si>
    <t>WOS:000175992000015</t>
  </si>
  <si>
    <t>Pakhomov, EA; Froneman, PW; Perissinotto, R</t>
  </si>
  <si>
    <t>Salp/krill interactions in the Southern Ocean: spatial segregation and implications for the carbon flux</t>
  </si>
  <si>
    <t>KRILL EUPHAUSIA-SUPERBA; MARGINAL ICE-ZONE; AUSTRAL SUMMER 1993; ANTARCTIC KRILL; SEA-ICE; WEDDELL SEA; SALPA-THOMPSONI; COMMUNITY STRUCTURE; BRANSFIELD STRAIT; PRYDZ BAY</t>
  </si>
  <si>
    <t>Available data on the spatial distribution and feeding ecophysiology of Antarctic krill, Euphausia superba, and the tunicate, Salpa thompsoni, in the Southern Ocean are summarized in this study. Antarctic krill and salps generally display pronounced spatial segregation at all spatial scales. This appears to be the result of a clear biotopical separation of these key species in the Antarctic pelagic food web. Krill and salps are found in different water masses or water mass modifications, which are separated by primary or secondary frontal features. On the small-scale (&lt;100 km), Antarctic krill and salps are usually restricted to the specific water parcels, or are well segregated vertically. Krill and salp grazing rates estimated using the in situ gut fluorescence technique are among the highest recorded in the Antarctic pelagic food web. Although krill and salps at times may remove the entire daily primary production, generally their grazing impact is moderate (less than or equal to50% of primary production). The regional ecological consequences of years of high salp densities may be dramatic. If the warming trend, which is observed around the Antarctic Peninsula and in the Southern Ocean, continues, salps may become a more prominent player in the trophic structure of the Antarctic marine ecosystem. This likely would be coupled with a dramatic decrease in krill productivity, because of a parallel decrease in the spatial extension of the krill biotope. The high Antarctic regions, particularly the Marginal Ice Zone, have, however, effective physiological mechanisms that may provide protection against the salp invasion. (C) 2002 Elsevier Science Ltd. All rights reserved.</t>
  </si>
  <si>
    <t>Univ Ft Hare, Dept Zool, ZA-5700 Alice, South Africa; Rhodes Univ, Dept Zool &amp; Entomol, So Ocean Grp, ZA-6140 Grahamstown, South Africa; Univ Natal, Sch Life &amp; Environm Sci, ZA-4041 Durban, South Africa</t>
  </si>
  <si>
    <t>University of Fort Hare; Rhodes University; University of Kwazulu Natal</t>
  </si>
  <si>
    <t>Pakhomov, EA (corresponding author), Univ Ft Hare, Dept Zool, P Bag X1314, ZA-5700 Alice, South Africa.</t>
  </si>
  <si>
    <t>Froneman, William/GLS-0460-2022; Froneman, William/C-9085-2012</t>
  </si>
  <si>
    <t>Froneman, William/0000-0003-0615-1355;</t>
  </si>
  <si>
    <t>PII S0967-0645(02)00017-6</t>
  </si>
  <si>
    <t>10.1016/S0967-0645(02)00017-6</t>
  </si>
  <si>
    <t>WOS:000175992000016</t>
  </si>
  <si>
    <t>Anderson, RF; Chase, Z; Fleisher, MQ; Sachs, J</t>
  </si>
  <si>
    <t>The Southern Ocean's biological pump during the Last Glacial Maximum</t>
  </si>
  <si>
    <t>DEEP-WATER CIRCULATION; ATMOSPHERIC CO2 CONCENTRATIONS; ANTARCTIC SEA-ICE; ROSS SEA; PACIFIC SECTOR; PHAEOCYSTIS-ANTARCTICA; ISOTOPE COMPOSITION; ORGANIC-CARBON; PLANKTONIC-FORAMINIFERA; PHYTOPLANKTON BIOMASS</t>
  </si>
  <si>
    <t>Ice core records from Antarctica show large (similar to80 ppm) and regular climate-related changes in atmospheric CO2, with minimum values during glacial periods and maximum values during peak interglacials. The suggested role of the Southern Ocean in driving these changes is based on either the potential for increased utilization of surface nutrients or the potential for decreased ventilation of deep waters during glacial times. Several recent studies have invoked increased stratification of the Southern Ocean to explain lower glacial atmospheric CO2 levels in terms of reduced exchange of CO2 between the deep sea and the atmosphere. A northward displacement and/or substantial weakening of the westerly winds during glacial periods are implicit in the scenarios that invoke enhanced stratification. However, both circulation models and proxy results argue against a weakening of the westerlies. In fact, the mean flow of the Antarctic Circumpolar Current and wind-driven upwelling during the Last Glacial Maximum (LGM) are thought to be at least as vigorous as those which exist today. Given these boundary conditions, we offer two (competing) scenarios for ecosystem structure and export production of the glacial Southern Ocean. The first scenario satisfies all proxy records for nutrient utilization and phytoplankton growth rate, and requires increased (relative to today) nitrate utilization south of the Antarctic Polar Front (APF) by phytoplankton other than diatoms, together with a shift in the zone of maximum diatom growth from south (interglacials) to north (glacials) of the APF. The second scenario has reduced growth of all phytoplankton species south of the APF during glacials, and a shift in the zone of maximum export production to the north of the Polar Front. The principal weakness of the first scenario is that there is little sedimentary evidence to support the increased export of particulate organic carbon required by the inferred increase in nitrate utilization south of the APF. The principal weakness of the second scenario is that it requires a change in the isotopic fractionation of nitrogen by phytoplankton growing south of the Polar Front for reasons presently unknown. The Southern Ocean's biological pump at the LGM has yet to be characterized unequivocally. (C) 2002 Elsevier Science Ltd. All rights reserved.</t>
  </si>
  <si>
    <t>Columbia Univ, Dept Earth &amp; Environm Sci, Palisades, NY 10964 USA; Columbia Univ, Lamont Doherty Geol Observ, Palisades, NY 10964 USA; MIT, Dept Earth Atmospher &amp; Planetary Sci, Cambridge, MA 02139 USA; Monterey Bay Aquarium Res Inst, Moss Landing, CA 95039 USA</t>
  </si>
  <si>
    <t>Columbia University; Columbia University; Massachusetts Institute of Technology (MIT); Monterey Bay Aquarium Research Institute</t>
  </si>
  <si>
    <t>Columbia Univ, Dept Earth &amp; Environm Sci, POB 1000, Palisades, NY 10964 USA.</t>
  </si>
  <si>
    <t>boba@ldeo.columbia.edu</t>
  </si>
  <si>
    <t>Anderson, Robert/0000-0002-8472-2494; Chase, Zanna/0000-0001-5060-779X</t>
  </si>
  <si>
    <t>PII S0967-0645(02)00018-8</t>
  </si>
  <si>
    <t>10.1016/S0967-0645(02)00018-8</t>
  </si>
  <si>
    <t>WOS:000175992000017</t>
  </si>
  <si>
    <t>Rabouille, C; Tisnérat, N; Blamart, D</t>
  </si>
  <si>
    <t>Δ14C of the organic matter in sediments from the Antarctic Polar Front:: origin and dynamics of sedimentary organic carbon</t>
  </si>
  <si>
    <t>INDIAN-OCEAN; RADIOCARBON; PACIFIC; VARIABILITY; ATLANTIC; PRESERVATION; ACCELERATOR; TH-230</t>
  </si>
  <si>
    <t>Delta(14)C of sedimentary organic matter was measured on one sediment core from the deep-sea below the Subantarctic Front of the Indian Ocean using acceleration mass spectrometry. In the mixed layer, values decrease from the sedimentwater interface (-263parts per thousand) to 10 cm depth (-446parts per thousand) with a sharp gradient in the first 2 cm. This indicates the loss of organic younger fractions due to mineralization of labile organic matter during bioturbation and burial in the upper sediment layer. A previously published model (Limnol. Oceanogr. 43(1998)420), combined with suppositions concerning the C-14 content of each organic carbon fraction, produces a good agreement with the radiocarbon data. Our data set supports a strong biogeochemical coupling between the pelagic zone and the sediment in this region. The low Delta(14)C values found at depth in the sediment point to a particular source of the refractory organic matter. It could originate from adsorption of old deep-sea dissolved organic carbon on falling particles (Nature 347(1990)172) and contribute largely to the burial of organic carbon in this type of sediment. (C) 2002 Elsevier Science Ltd. All rights reserved.</t>
  </si>
  <si>
    <t>CEA, CNRS, Lab Sci Climat &amp; Environm, F-91198 Gif Sur Yvette, France</t>
  </si>
  <si>
    <t>Rabouille, C (corresponding author), CEA, CNRS, Lab Sci Climat &amp; Environm, Av Terrasse, F-91198 Gif Sur Yvette, France.</t>
  </si>
  <si>
    <t>PII S0967-0645(02)00020-6</t>
  </si>
  <si>
    <t>10.1016/S0967-0645(02)00020-6</t>
  </si>
  <si>
    <t>WOS:000175992000019</t>
  </si>
  <si>
    <t>Ragueneau, O; Dittert, N; Pondaven, P; Tréguer, P; Corrin, L</t>
  </si>
  <si>
    <t>Si/C decoupling in the world ocean:: is the Southern Ocean different?</t>
  </si>
  <si>
    <t>Southern Ocean Joint Global Ocean Flux Symposium (SO-JGOFS)</t>
  </si>
  <si>
    <t>ARCTIC PACIFIC-OCEAN; ATLANTIC TIME-SERIES; ANTARCTIC CIRCUMPOLAR CURRENT; POLAR FRONT REGION; BIOGENIC SILICA; ORGANIC-CARBON; EQUATORIAL PACIFIC; INTERANNUAL VARIABILITY; PARTICLE FLUXES; PRIMARY PRODUCTIVITY</t>
  </si>
  <si>
    <t>This paper deals with the decoupling between the biogeochemical cycles of biogenic silica (BSiO2) and of particulate organic carbon (POC) in the Southern Ocean (five study sites situated north, within and south of the Polar Front) compared to the rest of the world ocean (four study sites situated in the Atlantic and in the Pacific oceans). In the surface layer the highest annual flux of BSiO2 is recorded in the Southern Ocean (about 3 mol m(-2) yr(-1)) and the highest flux of POC in the Equatorial Pacific (about 25 mol C m(-2) yr(-1)). Si:C molar ratios in the surface layers range from 0.04 for the rest of the world ocean to 0.25 for the Southern Ocean, reflecting the variable contribution of diatoms to phytoplankton. The Southern Ocean is typified with high Si:C ratios both in the water column (ratios between 2.6 and 10.4 for the rain rate) and in sediments (ratios between 13 and 39 for the long-term burial). The lowest Si:C ratios are reported for the Bermuda Atlantic Time Series Station (0.55 and 0.57 for the rain rate and the sediment, respectively). Whatever may be the study site, the Si:C ratio increases with depth. Relative to the surface production ratio, Si:C increases by a factor of 24-28 for the rain rate, and by a factor of 106-111 for the accumulation rate. In the water column the Si:C increase vs. depth is according to the equation: (Si:C), = a(Si:C)(0)(b)/z(c),, where (Si:C)(0) is the ratio value for surface waters, a, b, and c being fitting parameters for sites situated outside the Southern Ocean. Taking into account the uncertainties in BSiO2 and POC flux determinations for the different study sites, our equation reasonably predicts the vertical variations of the Si:C ratio for the Southern Ocean. As far as the decoupling between the Si and C cycle is concerned, the Southern Ocean behavior is not different from the rest of the world ocean. (C) 2002 Elsevier Science Ltd. All rights reserved.</t>
  </si>
  <si>
    <t>Inst Univ European Mer, CNRS, UMR 6539, Technopole Brest Iroise, F-29280 Plouzane, France</t>
  </si>
  <si>
    <t>Universite de Bretagne Occidentale; Institut Universitaire Europeen de la Mer (IUEM); Centre National de la Recherche Scientifique (CNRS); Ifremer; Institut de Recherche pour le Developpement (IRD)</t>
  </si>
  <si>
    <t>Inst Univ European Mer, CNRS, UMR 6539, Technopole Brest Iroise, Pl Nicolas Copernic, F-29280 Plouzane, France.</t>
  </si>
  <si>
    <t>olivier.ragueneau@univ-brest.fr</t>
  </si>
  <si>
    <t>Treguer, Paul/H-6064-2012; Ragueneau, Olivier/H-6021-2017</t>
  </si>
  <si>
    <t>Ragueneau, Olivier/0000-0001-8598-1730; Pondaven, Philippe/0000-0002-3427-7767</t>
  </si>
  <si>
    <t>PII S0967-0645(02)00075-9</t>
  </si>
  <si>
    <t>10.1016/S0967-0645(02)00075-9</t>
  </si>
  <si>
    <t>570ZX</t>
  </si>
  <si>
    <t>WOS:000176691300003</t>
  </si>
  <si>
    <t>DeMaster, DJ</t>
  </si>
  <si>
    <t>The accumulation and cycling of biogenic silica in the Southern Ocean: revisiting the marine silica budget</t>
  </si>
  <si>
    <t>SEA CONTINENTAL-SHELF; ORGANIC-CARBON; ATLANTIC SECTOR; POLAR FRONT; ROSS SEA; PALEOPRODUCTIVITY PROXY; DISSOLVED SILICATE; BIOLOGICAL UPTAKE; INDIAN SECTOR; WORLD OCEAN</t>
  </si>
  <si>
    <t>In many of the recent marine silica budgets (e.g., Science 268 (1995) 375), a majority of the world's biogenic silica accumulation is attributed to the siliceous-ooze deposits in the Antarctic deep sea. Based on (230)Th-normalized sediment accumulation rates as well as comparative studies of silica preservation (seabed accumulation compared to surface biogenic production), the rate of biogenic silica accumulation in Antarctic siliceous-ooze deposits has been overestimated by as much as 35%. The current estimate for silica accumulation in these high-latitude deposits is 3.1 X 10(12) mol yr(-1) (as compared to previous values of 4.1-4.8 x 10(12) mol yr(-1)). To maintain balance between silicate supply and biogenic silica removal in the oceans, an additional repository is needed. Evidence from continental shelf and upper slope sediments suggests that biogenic silica accumulation in continental margin deposits may account for a much larger fraction of the marine silica burial than previously thought, compensating for the diminished accumulation in the Antarctic deep sea. If biogenic silica accumulation in continental margin sediments replaces nearly a third of the silica accumulation in the Antarctic deep sea, the marine cycles of organic matter and biogenic silica are coupled to a greater extent than reported in previous budgets. (C) 2002 Elsevier Science Ltd. All rights reserved.</t>
  </si>
  <si>
    <t>N Carolina State Univ, Dept Marine Earth &amp; Atmospher Sci, Raleigh, NC 27695 USA</t>
  </si>
  <si>
    <t>North Carolina State University</t>
  </si>
  <si>
    <t>DeMaster, DJ (corresponding author), N Carolina State Univ, Dept Marine Earth &amp; Atmospher Sci, Box 8208, Raleigh, NC 27695 USA.</t>
  </si>
  <si>
    <t>dave_demaster@ncsu.edu</t>
  </si>
  <si>
    <t>PII S0967-0645(02)00076-0</t>
  </si>
  <si>
    <t>10.1016/S0967-0645(02)00076-0</t>
  </si>
  <si>
    <t>WOS:000176691300004</t>
  </si>
  <si>
    <t>Mayzaud, P; Tirelli, V; Errhif, A; Labat, JP; Razouls, S; Perissinotto, R</t>
  </si>
  <si>
    <t>Carbon intake by zooplankton. Importance and role of zooplankton grazing in the Indian sector of the Southern Ocean</t>
  </si>
  <si>
    <t>ANTARCTIC CALANOID COPEPODS; DIEL VERTICAL MIGRATION; GUT-EVACUATION RATES; FEEDING SELECTIVITY; COMMUNITY STRUCTURE; AUSTRAL SUMMER; COASTAL WATERS; SCOTIA SEA; FOOD WEB; BIOMASS</t>
  </si>
  <si>
    <t>Ingestion by mesozooplankton and micronekton was monitored during two of the ANTARES cruises in the Indian sector of the Southern Ocean in spring and summer. The composition of the mesozooplankton populations varied in space and with season. Copepods always dominated in number and biomass, but salps and pteropods were present in the northern part of the transect in summer. Five species of large copepod (Calanus simillimus, Calanoides acutus, Rhincalanus gigas, Calanus propinquus and Metridia gerlachei) dominated the biomass with a North-South gradient. Smaller species (Oithona spp., Ctenocalanus citer, Clausocalanus laticeps) were also present. Biomass showed a definite trend with highest levels towards the polar front zone and permanent open-ocean area. Feeding activity was monitored either for the total population (summer) or specific individuals (spring). In summer, depending on the area considered, grazing rates by mesozooplankton appeared to have a significant impact on phytoplankton primary production. In the northern part of the transect (polar front zone or PFZ), salps and to a minor extent pteropods and copepods contributed mostly to the feeding pressure. Maximum intensity was observed in the Coastal Antarctic Zone (CCSZ) where Euphausia superba (adults and calyptopis larvae) could ingest more than 100% of the daily primary production. In spring, the impact of copepods dominated the zooplankton community. Small calanoids and young stages of large species of copepods rather than adult stages were the dominant contributors to grazing pressure. In summer, respiration rates of the dominant copepod species showed that energy expenditure exceeded by far chlorophyll ingestion. This is generally interpreted as the consequence of ingestion of alternate non-chlorophyll food source. The inverse correlation between the biomass of microzooplankton and the area of maximum difference between grazing and respiration confirmed that in summer the protozoans are strongly controlled by the copepod community. (C) 2002 Elsevier Science Ltd. All rights reserved.</t>
  </si>
  <si>
    <t>LOBEPM, ESA, CNRS 7076, Observ Oceanol, F-06230 Villefranche Sur Mer, France; Observ Oceanol, Lab Arago, F-66651 Banyuls sur Mer, France; Univ KwaZulu Natal, Sch Life &amp; Environm Sci, ZA-4041 Durban, South Africa</t>
  </si>
  <si>
    <t>Sorbonne Universite; Sorbonne Universite; University of Kwazulu Natal</t>
  </si>
  <si>
    <t>Mayzaud, P (corresponding author), LOBEPM, ESA, CNRS 7076, Observ Oceanol, POB 28, F-06230 Villefranche Sur Mer, France.</t>
  </si>
  <si>
    <t>mayzaud@ccrv.obs-vifr.fr</t>
  </si>
  <si>
    <t>PII S0967-0645(02)00077-2</t>
  </si>
  <si>
    <t>10.1016/S0967-0645(02)00077-2</t>
  </si>
  <si>
    <t>WOS:000176691300005</t>
  </si>
  <si>
    <t>Leblanc, K; Quéguiner, B; Fiala, M; Blain, S; Morvan, J; Corvaisier, R</t>
  </si>
  <si>
    <t>Particulate biogenic silica and carbon production rates and particulate matter distribution in the Indian sector of the Subantarctic Ocean</t>
  </si>
  <si>
    <t>ICE-EDGE ZONE; SOUTHERN-OCEAN; ANTARCTIC OCEAN; LIMITING NUTRIENT; LATE SUMMER; DISSOLUTION; SEA; DIATOMS; CYCLE</t>
  </si>
  <si>
    <t>The silicon and carbon cycles in the Subantarctic region have been investigated in the summer 1999 during the Antares 4 cruise in the Indian sector of the Southern Ocean. Both biogenic silica (BSi) biomass and production values were low and indicative of the end of the productive period. Biogeochemical parameters revealed that the siliceous components of the phytoplankton were scarce. The study area was characterized by nanoplanktonic communities. Depth-integrated values of BSi showed a north-south positive gradient: average values were 45.65 mmol m(-2) in the Polar Frontal Zone (PFZ) and 19.82 mmol m(-2) in the Subtropical Zone (STZ). Diatom frustules appeared slightly deteriorated, and BSi distribution suggested particulate matter sedimentation especially at the southern boundary of the study area, where the highest concentrations were found (750 nmol l(-1)). BSi tended to accumulate along the Subtropical Front, with values reaching up to 420n mol l(-1). Depth-integrated BSi production rates showed an inverse pattern compared to BSi: the maximum and the minimum values were found, respectively, in the STZ (0.72 mmol Si m(-2) d(-1)) and in the PFZ (0.25 mmol Si m(-2) d(-1)). The Subantarctic region, located between the PFZ and the STZ, showed intermediate values for both BSi standing stock (31.58 mmol m(-2)) and production rates (0.50 mmol Si m(-2) d(-1)). A production regime based on orthosilicic acid regeneration is hypothesized in the STZ where surface temperatures appear high enough to sustain higher BSi dissolution rates. During summer, BSi production in the frontal zone of the Indian sector is comparable to the lowest production rates of oligotrophic waters. (C) 2002 Elsevier Science Ltd. All rights reserved.</t>
  </si>
  <si>
    <t>Ctr Oceanol Marseille, Lab Oceanog &amp; Biogeochim, F-13288 Marseille 09, France; Univ Paris 06, Observ Oceanol Banyuls, CNRS, UMR 7621, F-66651 Banyuls sur Mer, France; Inst Univ Europeen Mer, CNRS, UMR 6539, F-29280 Plouzane, France; Ecole Natl Super Chim Rennes, F-35700 Rennes, France</t>
  </si>
  <si>
    <t>Centre National de la Recherche Scientifique (CNRS); CNRS - National Institute for Earth Sciences &amp; Astronomy (INSU); Sorbonne Universite; Centre National de la Recherche Scientifique (CNRS); CNRS - Institute of Ecology &amp; Environment (INEE); Ifremer; Institut de Recherche pour le Developpement (IRD); Universite de Bretagne Occidentale; Institut Universitaire Europeen de la Mer (IUEM); Universite de Rennes; Ecole Nationale Superieure de Chimie de Rennes (ENSCR)</t>
  </si>
  <si>
    <t>Leblanc, K (corresponding author), Ctr Oceanol Marseille, Lab Oceanog &amp; Biogeochim, Campus Luminy,Case 901, F-13288 Marseille 09, France.</t>
  </si>
  <si>
    <t>Leblanc, Karine/C-6029-2009; Quéguiner, Bernard/B-4060-2008; blain, stephane/F-6917-2010</t>
  </si>
  <si>
    <t>Quéguiner, Bernard/0000-0001-5020-8297; blain, stephane/0000-0002-5234-2446</t>
  </si>
  <si>
    <t>PII S0967-0645(02)00078-4</t>
  </si>
  <si>
    <t>10.1016/S0967-0645(02)00078-4</t>
  </si>
  <si>
    <t>WOS:000176691300006</t>
  </si>
  <si>
    <t>Dubischar, CD; Bathmann, UV</t>
  </si>
  <si>
    <t>The occurrence of faecal material in relation to different pelagic systems in the Southern Ocean and its importance for vertical flux</t>
  </si>
  <si>
    <t>COPEPOD FECAL PELLETS; ZOOPLANKTON FEEDING ECOLOGY; GULF-OF-MEXICO; SINKING RATES; CARBON FLUX; PHAEOCYSTIS-POUCHETII; SETTLING VELOCITIES; EUPHAUSIA-SUPERBA; CONTINENTAL-SHELF; ANTARCTIC KRILL</t>
  </si>
  <si>
    <t>During the SO-JGOFS-Polarstern-cruise in Oct/Nov 1992, faecal pellet abundance and distribution were determined in order to assess the impact of defecation within the following three typical Antarctic plankton regimes in the Atlantic sector: the Marginal Ice Zone (MIZ), the southern Antarctic Circumpolar Current (ACC) and the Polar Frontal region (PFr). In contrast to the more southern regions, the PFr was characterised by the occurrence of relatively dense phytoplankton blooms and high copepod concentrations. Faecal pellets were relatively abundant in the MIZ reaching up to 106 mug faccal pellet carbon (FPC) m(-3), whereas the concentrations in the more northern regions were about one to two orders of magnitude lower: ca. 6 mug FPC m(-3) in the southern ACC and less than 1 mug FPC m(-3) in the PFr. Thus, the region with the highest phyto- and zooplankton concentrations showed by far the lowest faecal pellet standing stock concentrations. These results and their potential ecological significance are discussed in relation to other regions of the world oceans. We conclude, that not only the biomass of phytoplankton and zooplankton, but also the structure of the plankton communities are decisive for sedimentation potentials of carbon and silica via faecal pellets in the different regions of the ocean. (C) 2002 Elsevier Science Ltd. All rights reserved.</t>
  </si>
  <si>
    <t>Dubischar, CD (corresponding author), Alfred Wegener Inst Polar &amp; Marine Res, Handelshafen 12, D-27570 Bremerhaven, Germany.</t>
  </si>
  <si>
    <t>PII S0967-0645(02)00080-2</t>
  </si>
  <si>
    <t>10.1016/S0967-0645(02)00080-2</t>
  </si>
  <si>
    <t>WOS:000176691300008</t>
  </si>
  <si>
    <t>Froneman, PW; Pakhomov, EA; Gurney, LJ; Hunt, BPV</t>
  </si>
  <si>
    <t>Predation impact of carnivorous macrozooplankton in the vicinity of the Prince Edward Island archipelago (Southern Ocean) in austral autumn 1998</t>
  </si>
  <si>
    <t>ATLANTIC SECTOR; ZOOPLANKTON STRUCTURE; TROPHIC IMPORTANCE; EUKROHNIA-HAMATA; SAGITTA-GAZELLAE; GRAZING IMPACT; INDIAN-OCEAN; SUMMER 1993; PLANKTON; CHAETOGNATHS</t>
  </si>
  <si>
    <t>The composition, biomass, feeding and predation impact of carnivorous macrozooplankton (&gt;2cm) on mesozooplankton (0.2-2cm) in the sub-Antarctic waters of the southwest Indian Ocean were investigated at 19 stations in austral autumn (April/May) 1998. Zooplankton abundances and biomass ranged from 6.9 to 95.2 ind m(-3) and between 1.8 and 18.1mg Dwt m(-3), respectively. Throughout the investigation, mesozooplankton comprising mainly copepods numerically and by biomass dominated net samples. Among the copepods, Calanus simillimus, Clausocalanus brevipes, Ctenocalanus vanus, and Oithona spp. dominated. The carnivore component of the macrozooplankton consisted mainly of five groups: decapods, amphipods, chaetognaths, euphausiids and gelatinous zooplankton. Among these, chaetognaths (Eukrohnia hamata and Sagitta gazellae) and euphausiids (Nematoscelis megalops and Euphausia longirostris) were the most prominent. Collectively, the carnivorous macrozooplankton comprised between 11% and 72% of total zooplankton biomass. Total predation impact of the carnivorous macrozooplankton varied considerably but generally accounted for &lt;5% (range 0.7-44%) of the total mesozooplankton standing stock. Tentative calculations suggest that carnivorous macrozooplankton may contribute, via vertical migrations and production of fast sinking faecal pellets, to a downward flux of carbon equivalent to up to 9% of the total mesozooplankton stock per day within the Antarctic Polar Frontal Zone. As a consequence, carnivorous macrozooplankton may increase the localised efficiency of the biological pump. (C) 2002 Elsevier Science Ltd. All rights reserved.</t>
  </si>
  <si>
    <t>Rhodes Univ, Dept Zool &amp; Entomol, So Ocean Grp, ZA-6140 Grahamstown, South Africa</t>
  </si>
  <si>
    <t>Rhodes University</t>
  </si>
  <si>
    <t>Froneman, PW (corresponding author), Rhodes Univ, Dept Zool &amp; Entomol, So Ocean Grp, Box 94, ZA-6140 Grahamstown, South Africa.</t>
  </si>
  <si>
    <t>Froneman, William/C-9085-2012; Froneman, William/GLS-0460-2022</t>
  </si>
  <si>
    <t>Froneman, William/0000-0003-0615-1355</t>
  </si>
  <si>
    <t>PII S0967-0645(02)00081-4</t>
  </si>
  <si>
    <t>10.1016/S0967-0645(02)00081-4</t>
  </si>
  <si>
    <t>WOS:000176691300009</t>
  </si>
  <si>
    <t>Blain, S; Sedwick, PN; Griffiths, FB; Quéguiner, B; Bucciarelli, E; Fiala, M; Pondaven, P; Tréguer, P</t>
  </si>
  <si>
    <t>Quantification of algal iron requirements in the Subantarctic Southern Ocean (Indian sector)</t>
  </si>
  <si>
    <t>EQUATORIAL PACIFIC-OCEAN; TIME-SERIES STATION; PHYTOPLANKTON GROWTH; INTERANNUAL VARIABILITY; MARINE-PHYTOPLANKTON; KERGUELEN ISLANDS; EXPORT PRODUCTION; LIMITATION; FE; AVAILABILITY</t>
  </si>
  <si>
    <t>Shipboard iron-addition incubation experiments were carried out in the Indian sector of the Subantarctic Southern Ocean during the Antares-IV campaign in late January-February 1999. The aim of these experiments was to estimate the dissolved iron requirements of the native phytoplankton community in this oceanic region, in order to improve the parameterisation of iron as a limiting nutrient in a coupled 1D physical-biogeochemical ocean model. The experiments were conducted with plankton collected from the upper water column (similar to 20 m depth) at three sites in the Crozet Basin between 43-46degreesS and 61-65degreesE: (1) the Polar Front Zone (PFZ, dissolved Fe=0.33nM), (2) the confluence of the Subantarctic and Subtropical Fronts (SAF/STF, dissolved Fe = 0.29 nM), and (3) the southern Subtropical Zone (STZ, dissolved Fe = 0.09 nM). Experimental results from each site indicate that algal community growth rates varied as a function of added iron concentration. Monod saturation functions fitted to the experimental data yield estimates for the community half-saturation constant for growth with respect to iron (K(mu)) of 0.41-0.45 nM Fe (PFZ), 0.055-0.086 nM Fe (SAF/STF) and 0.092-0.093 nM Fe (STZ, with macronutrients, added), each of which has an estimated uncertainty of +/- 20 %. The K(mu) estimate for the SAF/STF site reflects the mixed algal assemblage (diatoms+ nanoplankton + dinoflagellates) that grew in the experimental incubations, whereas the K(mu) estimates for the PFZ and STZ sites probably reflect the Fe requirements of the small pennate diatoms such as Pseudo-nitzschia spp., which dominated the algal biomass produced in these experiments. The fact that there are significant differences between the K(mu) estimates for the PFZ and STZ sites suggests that similar diatom assemblages may have quite different iron requirements, perhaps due to differences in environmental conditions (e.g., light, macronutrient levels). We also examine the sensitivity of a one-dimensional coupled physical-biogeochemical model to the choice of K(mu) for iron, using time-series observations from the KERFIX station close to the Polar Front. The model was best able to simulate the KERFIX observations using a diatom K(mu) value of similar to0.1 nM Fe, which is considerably less than our experimental estimate of similar to0.4 nM Fe for the PFZ. This discrepancy probably reflects differences in the iron requirements of diatom populations immediately north and south of the Polar Front in the Kerguelen region, due to differences in diatom species composition, availability of light and silicic acid, or the environmental and physiological histories of the diatom populations. (C) 2002 Elsevier Science Ltd. All rights reserved.</t>
  </si>
  <si>
    <t>Inst Univ Europeen Mer, CNRS, UMR 6539, F-29280 Plouzane, France; Antarctic CRC, Hobart, Tas 7001, Australia; CSIRO, Marine Labs, Hobart, Tas 7001, Australia; Ctr Oceanol Marseille, F-13288 Marseille, France; Observ Oceanol, F-66651 Banyuls sur Mer, France</t>
  </si>
  <si>
    <t>Centre National de la Recherche Scientifique (CNRS); Ifremer; Institut de Recherche pour le Developpement (IRD); Universite de Bretagne Occidentale; Institut Universitaire Europeen de la Mer (IUEM); CNRS - Institute of Ecology &amp; Environment (INEE); Commonwealth Scientific &amp; Industrial Research Organisation (CSIRO); Sorbonne Universite</t>
  </si>
  <si>
    <t>Blain, S (corresponding author), Inst Univ Europeen Mer, CNRS, UMR 6539, Pl Nicolas Copernic, F-29280 Plouzane, France.</t>
  </si>
  <si>
    <t>stephane.blain@univ-brest.fr</t>
  </si>
  <si>
    <t>Quéguiner, Bernard/B-4060-2008; Treguer, Paul/H-6064-2012; blain, stephane/F-6917-2010</t>
  </si>
  <si>
    <t>Quéguiner, Bernard/0000-0001-5020-8297; Pondaven, Philippe/0000-0002-3427-7767; Sedwick, Peter/0000-0003-0663-8323; blain, stephane/0000-0002-5234-2446</t>
  </si>
  <si>
    <t>PII S0967-0645(02)00082-6</t>
  </si>
  <si>
    <t>10.1016/S0967-0645(02)00082-6</t>
  </si>
  <si>
    <t>WOS:000176691300010</t>
  </si>
  <si>
    <t>Isla, E; Masqué, P; Palanques, A; Sanchez-Cabeza, JA; Bruach, JM; Guillén, J; Puig, P</t>
  </si>
  <si>
    <t>Sediment accumulation rates and carbon burial in the bottom sediment in a high-productivity area:: Gerlache Strait (Antarctica)</t>
  </si>
  <si>
    <t>CONTINENTAL-SHELF DEPOSITS; WESTERN BRANSFIELD STRAIT; PARTICLE MIXING RATES; BIOGENIC-SILICA; DEEP-SEA; ROSS SEA; SOUTHERN-OCEAN; ORGANIC-CARBON; PB-210; PHYTOPLANKTON</t>
  </si>
  <si>
    <t>Recent (100 yr) sediment, carbon, and nitrogen accumulation rates have been assessed at six different sites along a high-productivity area, Gerlache Strait, Antarctica. Organic carbon (OC) content in the sampled sediments along the Strait accounted for more than 90% of the total carbon, which ranged from 0.7% to 1.2% of the total mass (dry weight). Apparent mean sediment accumulation rates (SAR) varied between 630 +/- 30 and 1750 +/- 80 g m(-2) yr- 1 (0.65 +/- 0.03-3.11 +/- 0.14 mm yr(-1)). Bottom sediment from the eastern part of the Strait had the highest mean OC content and apparent mean SAR. The OC sedimentation rates were significant and fluctuated between 5 and 23 g m(-2) yr(-1). The highest values corresponded to the centre of the Strait. The eastern half of the Strait is the deposit area of both locally produced material and that generated farther to the west due to bottom topography together with hydrographical and biological controls. Between 71% and 83% of the OC originally deposited in the surface sediment remained below the surface mixed layer. The preservation ratio (remnant OC in the sediment column/primary production rates in the local euphotic zone) ranged from 1% to 6%. These ratios are comparable to other from Antarctic areas such as the Ross Sea. Nevertheless, the amount of primary-produced OC buried in the Gerlache Strait sediment is higher than in other areas such as the Bransfield Strait or the Ross Sea. The Gerlache Strait can be considered as a carbon-sink area, and it is able to export particulate OC to the adjacent western Bransfield Strait. (C) 2002 Elsevier Science Ltd. All rights reserved.</t>
  </si>
  <si>
    <t>CSIC, Inst Ciencias Mar, Unitat Geol Marina Oceanog Fis, E-08039 Barcelona, Spain; Univ Autonoma Barcelona, Dept Fis, E-08193 Barcelona, Spain</t>
  </si>
  <si>
    <t>Isla, E (corresponding author), Alfred Wegener Inst Polar &amp; Marine Res, Columbusstr, D-27568 Bremerhaven, Germany.</t>
  </si>
  <si>
    <t>Puig, Pere/E-5422-2013; Palanques, Albert/C-2661-2013; Masque, Pere/AAC-9349-2022; Guillén, Jorge/E-6564-2010; Masque, Pere/B-7379-2008; Sanchez-Cabeza, Joan-Albert/Q-2394-2016</t>
  </si>
  <si>
    <t>Puig, Pere/0000-0001-6189-5504; Masque, Pere/0000-0002-1789-320X; Guillén, Jorge/0000-0001-7162-8135; Masque, Pere/0000-0002-1789-320X; Isla, Enrique/0000-0003-4959-6936; Palanques, Albert/0000-0003-2544-2342; Sanchez-Cabeza, Joan-Albert/0000-0002-3540-1168</t>
  </si>
  <si>
    <t>PII S0967-0645(02)00083-8</t>
  </si>
  <si>
    <t>10.1016/S0967-0645(02)00083-8</t>
  </si>
  <si>
    <t>WOS:000176691300011</t>
  </si>
  <si>
    <t>Pollard, RT; Lucas, MI; Read, JF</t>
  </si>
  <si>
    <t>Physical controls on biogeochemical zonation in the Southern Ocean</t>
  </si>
  <si>
    <t>ANTARCTIC CIRCUMPOLAR CURRENT; BIOGENIC SILICA; WATER MASSES; PHYTOPLANKTON; FRONTS; NUTRIENTS; TASMANIA; CARBON; AFRICA; BLOOM</t>
  </si>
  <si>
    <t>The primary control on the N-S zonation of the Southern Ocean is the wind-induced transport of the Antarctic Circumpolar Current (ACC). The ACC divides the Southern Ocean into three major zones: the Subantarctic Zone (SAZ) north of the ACC; the ACC transport zone; and the zone south of the ACC (SACCZ). The zone of ACC transport is most often subdivided into two zones, the Polar Frontal Zone (PFZ) and the Antarctic Zone (AAZ), but it may be appropriate to define more subzones or indeed only one at some longitudes. To maintain geostrophic balance, isopyenals must slope upwards to the south across the ACC, thus raising nutrient-rich deep water closer to the surface as one goes polewards. In addition, silicate concentrations increase polewards along isopyenals because of diapycnic mixing with silicate-rich bottom water. Surface silicate concentrations therefore decrease northwards from high levels in the SACCZ to low levels in the SAZ. Within the SAZ and PFZ and even in the northern part of the AAZ, silicate levels may drop to limiting levels for siliceous phytoplankton production during summer. Nitrate concentrations also decrease northwards, but only become limiting in the Subtropical Zone north of the SAZ. The second circumpolar control is the changing balance of stratification, with temperature dominating near-surface stratification in the SAZ and salinity dominating further south because of fresh water input to the surface from melting ice. This results in circumpolar features such as the subsurface 2degreesC temperature minimum and the subduction of the salinity minimum of Antarctic Intermediate Water, which are often but not always associated with frontal jets and large transports. The transport of the ACC is dynamically constrained into narrow bands, the number and latitudinal location of which are controlled by the bathymetry and so vary with longitude. Thus it is not the fronts that are circumpolar, but the total ACC transport and scalar properties of the salinity and temperature fields. Evidence of summer silicate and nitrate uptake in all zones (SAZ, PFZ and AAZ) shows that there is productivity despite their high-nutrient low-chlorophyll status. Blooms covering large areas (say 400 km across) in the PFZ and AAZ are found in the vicinity of submarine plateaux, which suggest benthic iron fertilization. (C) 2002 Elsevier Science Ltd. All rights reserved.</t>
  </si>
  <si>
    <t>Pollard, RT (corresponding author), Southampton Oceanog Ctr, Waterfront Campus,European Way, Southampton SO14 3ZH, Hants, England.</t>
  </si>
  <si>
    <t>PII S0967-0645(02)00084-X</t>
  </si>
  <si>
    <t>10.1016/S0967-0645(02)00084-X</t>
  </si>
  <si>
    <t>WOS:000176691300012</t>
  </si>
  <si>
    <t>Hunt, BPV; Pakhomov, EA; McQuaid, CD</t>
  </si>
  <si>
    <t>Community structure of mesozooplankton in the Antarctic polar frontal zone in the vicinity of the Prince Edward Islands (Southern Ocean): small-scale distribution patterns in relation to physical parameters</t>
  </si>
  <si>
    <t>TRACKED KING PENGUINS; ZOOPLANKTON COMMUNITY; CROZET ARCHIPELAGO; ATLANTIC SECTOR; AUSTRAL SUMMER; DRAKE PASSAGE; INDIAN-OCEAN; VARIABILITY; PLANKTON; MACROZOOPLANKTON</t>
  </si>
  <si>
    <t>Mesozooplankton community structure was investigated in four consecutive years from 1996 to 1999, during late austral summer (April/May), in the vicinity of the Prince Edward Islands. Sampling was carried out using a Bongo net with a mouth area of 0.25 m(2), and fitted with 300 mum mesh. Surveys were of high resolution, with net tows being separated by +/- 10-20 km. Zooplankton species composition demonstrated a high degree of similarity between net tows, containing a mix of sub-Antarctic and Antarctic species. However, variation in species abundance levels showed that within each year of study the region was characterised by the presence of different zooplankton communities. These communities differed by as much as an order of magnitude in total zooplankton density. Analysis of physical variables indicated that zooplankton communities were associated with different water masses, identifiable by their physical characteristics. Sea temperature was the most important physical variable, accounting for as much as 69% of the variation in community structure. Communities were often not spatially discrete, and many stations demonstrated a high degree of similarity despite wide spatial separation. The heterogeneity in the biological and oceanographic environment extended to a small scale, on the order of 10 km. This is indicative of the oceanographic complexity of the region. The complex oceanography associated with shallow topography, including seamounts, islands, and frontal zones, indicates that small-scale spatial heterogeneity in zooplankton communities may be an important factor to consider when modelling these ecosystems. (C) 2002 Elsevier Science Ltd. All rights reserved.</t>
  </si>
  <si>
    <t>Rhodes Univ, Dept Zool &amp; Entomol, So Ocean Grp, ZA-6140 Grahamstown, South Africa; Univ Ft Hare, Dept Zool, ZA-5700 Alice, South Africa</t>
  </si>
  <si>
    <t>Rhodes University; University of Fort Hare</t>
  </si>
  <si>
    <t>Pakhomov, EA (corresponding author), Rhodes Univ, Dept Zool &amp; Entomol, So Ocean Grp, POB 94, ZA-6140 Grahamstown, South Africa.</t>
  </si>
  <si>
    <t>McQuaid, Christopher/AAT-3725-2020</t>
  </si>
  <si>
    <t>McQuaid, Christopher/0000-0002-3473-8308</t>
  </si>
  <si>
    <t>PII S0967-0645(02)00085-1</t>
  </si>
  <si>
    <t>10.1016/S0967-0645(02)00085-1</t>
  </si>
  <si>
    <t>WOS:000176691300013</t>
  </si>
  <si>
    <t>Sedwick, PN; Blain, S; Quéguiner, B; Griffiths, FB; Fiala, M; Bucciarelli, E; Denis, M</t>
  </si>
  <si>
    <t>Resource limitation of phytoplankton growth in the Crozet Basin, Subantarctic Southern Ocean</t>
  </si>
  <si>
    <t>ANTARCTIC SHELF WATERS; NORTH PACIFIC-OCEAN; IRON-LIMITATION; SPECIES COMPOSITION; EQUATORIAL PACIFIC; EXPORT PRODUCTION; UPWELLING REGIME; SEA; LIGHT; MANGANESE</t>
  </si>
  <si>
    <t>In January-February 1999, we performed shipboard iron- and macronutrient-addition experiments in the Crozet Basin, Indian sector of the Subantarctic Southern Ocean, to evaluate the sufficiency of ambient iron and macronutrient concentrations for algal growth. Experiments were conducted with near-surface seawater collected from three locations in a narrow latitudinal band characterized by relatively low algal biomass (&lt; 0.7 mug l(-1) chlorophyll a), low dissolved iron concentrations (&lt;0.33nM), and strong meridional gradients in temperature, salinity and macronutrient concentrations: (1) the Polar Frontal Zone (PFZ) near 46degreesS, 65degreesE (similar to19 muM nitrate and 1.2 muM silicic acid); (2) the confluence of the Subantarctic and Subtropical Fronts (SAF/STF) near 44degrees12'S, 63degrees23E (similar to5.4 muM nitrate and 0.5 AM silicic acid); and (3) the southern Subtropical Zone (STZ) near 43degrees18'S, 62degrees31'E (&lt; 0.1 muM nitrate and similar to1.4 muM silicic acid). Our experimental results reveal three distinct regimes of resource limitation of phytoplankton growth. In the PFZ, iron availability exerted the primary limitation on nitrate drawdown and biomass accumulation, thus community growth, with silicic acid availability exerting a secondary limitation on diatom growth and biogenic silica production. Within the SAF/STF, iron deficiency was also the primary limitation on algal community growth; however, here we observed evidence of secondary limitation of nitrate drawdown and biomass accumulation by silicic acid deficiency, via control of algal community structure-such that iron addition preferentially stimulated the growth of non-diatom nanoplankton-suggesting that the algal community was poised close to co-limitation by iron and silicic acid. As expected, our experimental results indicate that macronutrients (nitrate/phosphate) were the primary limitation on community growth in the STZ waters; however, our results also suggest that iron deficiency imposed a significant secondary limitation on community growth, particularly diatom growth, such that the algal community was poised close to co-limitation by macronutrients and iron. We conclude that these same regimes of resource limitation are likely to regulate phytoplankton growth and export production over much of the open-ocean Subantarctic region during the mid to late summer. (C) 2002 Elsevier Science Ltd. All rights reserved.</t>
  </si>
  <si>
    <t>Antarctic CRC, Hobart, Tas 7001, Australia; Inst Univ Europeen Mer, CNRS, UNR 6539, F-29280 Plouzane, France; Ctr Oceanol Marseille, Lab Oceanog &amp; Biogeochim, F-13288 Marseille, France; CSIRO, Div Marine Res, Hobart, Tas 7000, Australia; Univ Paris 06, Lab Arago, CNRS, UMR 7621, F-66651 Banyuls sur Mer, France</t>
  </si>
  <si>
    <t>Centre National de la Recherche Scientifique (CNRS); Universite de Bretagne Occidentale; Institut Universitaire Europeen de la Mer (IUEM); Commonwealth Scientific &amp; Industrial Research Organisation (CSIRO); Centre National de la Recherche Scientifique (CNRS); CNRS - National Institute for Earth Sciences &amp; Astronomy (INSU); Sorbonne Universite</t>
  </si>
  <si>
    <t>Sedwick, PN (corresponding author), Bermuda Biol Stn Res, St Georges GE01, Bermuda.</t>
  </si>
  <si>
    <t>Quéguiner, Bernard/B-4060-2008; blain, stephane/F-6917-2010</t>
  </si>
  <si>
    <t>Quéguiner, Bernard/0000-0001-5020-8297; Sedwick, Peter/0000-0003-0663-8323; blain, stephane/0000-0002-5234-2446</t>
  </si>
  <si>
    <t>PII S0967-0645(02)00086-3</t>
  </si>
  <si>
    <t>10.1016/S0967-0645(02)00086-3</t>
  </si>
  <si>
    <t>WOS:000176691300014</t>
  </si>
  <si>
    <t>Wilmotte, A; Demonceau, C; Goffart, A; Hecq, JH; Demoulin, V; Crossley, AC</t>
  </si>
  <si>
    <t>Molecular and pigment studies of the picophytoplankton in a region of the Southern Ocean (42-54°S, 141-144°E) in March 1998</t>
  </si>
  <si>
    <t>MULTIPLE EVOLUTIONARY ORIGINS; PHYTOPLANKTON POPULATIONS; PROCHLOROCOCCUS-MARINUS; CHLOROPHYLL-B; RIBOSOMAL-RNA; ALGAL CLASS; SYNECHOCOCCUS; DIVERSITY; SEA; PROCHLOROPHYTES</t>
  </si>
  <si>
    <t>Seven filtered seawater samples (depths between 30 and 55 m) collected during the SAZ project of the Austral summer of 1997-1998 were used for a simultaneous study of the picophytoplankton pigments based on high-performance liquid chromatography (HPLC) analyses and flow cytometry, and of the molecular diversity of the picophytoplankton based on their rDNA sequences. The sampling sites could be divided into three temperature zones, distinguished by their proximity to the Sub-Antarctic and Polar Fronts. HPLC analysis of total chlorophylls and carotenoids showed fairly low phytoplankton concentrations (77-262 ng chl al(-1)), with minimal values of the pigments in the two samples of the Polar Front Zone around 54degreesS (water temperature of 4degreesC at time of collection). In this zone, a similar decrease of particles, identified as cyanobacteria on the basis of their fluorescence, was observed by flow cytometry. Sequences very similar to the 16S rDNA sequence of Synechococcus WH8103 were present in all samples. This Synechococcus genotype is thus found in the Southern Ocean in addition to the Atlantic and Pacific locations where it has been previously observed. The yield of PCR products was lower in the two samples taken in the Polar Front Zone, showing a good agreement between molecular and pigment data. 16S rDNA sequences of plastids of eukaryotic algae also were retrieved, mostly related to those of an environmental clone called OM164, which has not been cultivated but has phylogenetic affinities to the Raphidophyceae. (C) 2002 Elsevier Science Ltd. All rights reserved.</t>
  </si>
  <si>
    <t>Inst Bot B22, B-4000 Liege, Belgium; Univ Liege, Dept Oceanol B5, B-4000 Liege, Belgium; Univ Tasmania, Inst Antarctic &amp; So Ocean Studies, Hobart, Tas 7001, Australia</t>
  </si>
  <si>
    <t>University of Liege; University of Tasmania</t>
  </si>
  <si>
    <t>Inst Bot B22, B-4000 Liege, Belgium.</t>
  </si>
  <si>
    <t>awilmotte@ulg.ac.be</t>
  </si>
  <si>
    <t>Wilmotte, Annick/H-1686-2011</t>
  </si>
  <si>
    <t>Wilmotte, Annick/0000-0003-3546-3489</t>
  </si>
  <si>
    <t>PII S0967-0645(02)00087-5</t>
  </si>
  <si>
    <t>10.1016/S0967-0645(02)00087-5</t>
  </si>
  <si>
    <t>WOS:000176691300015</t>
  </si>
  <si>
    <t>Cochlan, WP; Bronk, DA; Coale, KH</t>
  </si>
  <si>
    <t>Trace metals and nitrogenous nutrition of Antarctic phytoplankton: experimental observations in the Ross Sea</t>
  </si>
  <si>
    <t>IRON ENRICHMENT EXPERIMENTS; ISOTOPE-DILUTION MODELS; WEDDELL CONFLUENCE AREA; MARGINAL ICE-ZONE; SOUTHERN-OCEAN; NITRATE UPTAKE; COMMUNITY STRUCTURE; ELEMENTAL COMPOSITION; MARINE-PHYTOPLANKTON; PRIMARY PRODUCTIVITY</t>
  </si>
  <si>
    <t>As part of the US JGOFS Antarctic Environment Southern Ocean Process Study (AESOPS), shipboard incubation experiments were conducted to investigate the effects of iron and zinc addition on ammonium (NH4+) and nitrate (NOD uptake by natural assemblages of Antarctic phytoplankton. Samples were collected from the Ross Sea during austral summer (January-February, 1997) within the mixed layer at two stations: a continental shelf station-Orca, and a high NO3-, low chlorophyll (HNLC) station located further offshore-Blue. Twenty-liter bottle incubations were sampled repeatedly during an 8-day period at Orca, and a 13-day period at Blue for short-term N-15-tracer uptake experiments. Ambient concentrations of NO3- were elevated at both locations. Biomass, measured as chlorophyll a (chi a), was relatively high at Orca (chi a = 2.31 mug l(-1)), whereas true HNLC conditions were observed at Blue (chi a = 0.52 mug l(-1)). All Fe enrichments produced an acceleration in NO3- decline, and accumulation in biomass. Chl a increased 2-3-fold at Orca and 4-5-fold at Blue; these increases were directly correlated with increasing Fe enrichment. Unambiguous responses to zinc addition were not evident at Blue, whereas increased total biomass accumulation and nitrate drawdown were observed at Orca. Rates of biomass (particulate nitrogen) specific NOT-uptake in the Fe-enriched samples were up to 2-fold greater than un-enriched controls at both sites. There were no significant changes in specific uptake rates of NH4+ at the HNLC site, and only a 30-40% increase at Orca with the highest Fe enrichments. These results clearly indicate that Fe additions resulted in faster rates of NO3- consumption per unit phytoplankton biomass at both sites. The N-uptake response to zinc enrichment was not as evident as with Fe, presumably due in part to the relatively high dissolved concentrations of zinc (ambient concentrations= ca. 2nM). However, during the later sampling periods, zinc addition resulted in a 40% increase in the specific uptake rates of NO3 but not NH4+, whereas the specific uptake rates of NO3- and NH4+ increased by 4-16% and 18-49%, respectively, at Orca. Absolute uptake rates of NO3- and NH4+ (corrected for isotopic dilution) were 4-5 and 2-3 times greater, respectively, than the controls at Blue, whereas at Orca both NO3-- and NH4+-uptake rates doubled as a result of Fe enrichment. Post-incubation, size-fractionation uptake experiments demonstrated that the higher rates of nitrogen uptake were primarily due to larger phytoplankton (&gt; 5 mum). The f-ratio [f= NO3--uptake/(NO3- + NH4+ -uptake)] increased from ca. 0.7 to 0.8 as a result of Fe enrichment at the HNLC site, but declined from an average of 0.84 to 0.52-0.69 in both the controls and the Fe-amended samples collected further onshore at Orca. This decrease may be due to the inhibition of NO3-uptake by elevated NH4+ concentrations resulting from increased heterotrophic rernineralization within the carboys over time. Based on the apparent half-saturation constant (K-s) of 0.09 nM Fe estimated for community planktonic NO3-uptake, the availability of dissolved Fe (ambient concentration = 0.03-0.04 nM) limits the uptake of NO3- by phytoplankton at the HNLC and continental shelf regions of the western Ross Sea during austral summer. (C) 2002 Elsevier Science Ltd. All rights reserved.</t>
  </si>
  <si>
    <t>San Francisco State Univ, Romberg Tiburon Ctr Environm Studies, Tiburon, CA 94920 USA; Virginia Inst Marine Sci, Coll William &amp; Mary, Gloucester Point, VA 23062 USA; Moss Landing Marine Labs, Moss Landing, CA 95039 USA</t>
  </si>
  <si>
    <t>California State University System; San Francisco State University; William &amp; Mary; Virginia Institute of Marine Science; Moss Landing Marine Laboratories</t>
  </si>
  <si>
    <t>San Francisco State Univ, Romberg Tiburon Ctr Environm Studies, 3152 Paradise Dr, Tiburon, CA 94920 USA.</t>
  </si>
  <si>
    <t>cochian@sfsu.edu</t>
  </si>
  <si>
    <t>PII S0967-0645(02)00088-7</t>
  </si>
  <si>
    <t>10.1016/S0967-0645(02)00088-7</t>
  </si>
  <si>
    <t>WOS:000176691300016</t>
  </si>
  <si>
    <t>Llinás, O; Rueda, MJ; Marrero, JP; Pérez-Martell, E; Santana, R; Villagarcía, MG; Cianca, A; Godoy, J; Maroto, L</t>
  </si>
  <si>
    <t>Variability of the Antarctic intermediate waters in the Northern Canary Box</t>
  </si>
  <si>
    <t>ATLANTIC-OCEAN; THERMOCLINE CIRCULATION; HYDROGRAPHY; BASIN</t>
  </si>
  <si>
    <t>Several chemical parameters were measured during four seasonal cruises in 1997 and 1998 within the Canary Islands Acores Gibraltar Observations project, along the transects within the so-called Northern Canary Box (NCB). This area is enclosed between the African coast, latitudes 29degreesN and 32degreesN and longitude 18degreesW to the north of the Canary Islands (Spain). The nutrient and oxygen concentration data are used in order to establish the Atlantic Antarctic Intermediate Water (AAIW) distribution in the area. By means of an anomaly method, it is established that this water mass is widely found in this zone, particularly new to the African coast. A volumetric budget indicates that the AAIW volume flowing into the NCB is of the same order as the Mediterranean Water (MW) inflow. The results indicate that only 40% of the AAIW mass reaching the Box flows northwards through the 32degreesN section, whereas 20% returns southwards through the 29degreesN section. (C) 2002 Elsevier Science Ltd. All rights reserved.</t>
  </si>
  <si>
    <t>Inst Canario Ciencias Marinas, Telde 35200, Gran Canaria, Spain; Univ Las Palmas Gran Canaria, Dept Fis, Las Palmas Gran Canaria, Spain</t>
  </si>
  <si>
    <t>Universidad de Las Palmas de Gran Canaria</t>
  </si>
  <si>
    <t>Llinás, O (corresponding author), Inst Canario Ciencias Marinas, Apto 56, Telde 35200, Gran Canaria, Spain.</t>
  </si>
  <si>
    <t>Perez Marrero, Francisco Javier/0000-0002-1929-5350</t>
  </si>
  <si>
    <t>PII S0967-0645(02)00090-5</t>
  </si>
  <si>
    <t>10.1016/S0967-0645(02)00090-5</t>
  </si>
  <si>
    <t>596TX</t>
  </si>
  <si>
    <t>WOS:000178183000004</t>
  </si>
  <si>
    <t>Strass, VH; Bathmann, U; van den Loeff, MMR; Smetacek, V</t>
  </si>
  <si>
    <t>Mesoscale physics, biogeochemistry and ecology of the Antarctic Polar Front, Atlantic sector:: an introduction to and summary of cruise ANT XIII/2 of RV Polarstern</t>
  </si>
  <si>
    <t>SOUTHERN-OCEAN; PHYTOPLANKTON; MODEL</t>
  </si>
  <si>
    <t>Strass, VH (corresponding author), Alfred Wegener Inst Polar &amp; Marine Res, Postfach 120161,Columbusstr, D-27515 Bremerhaven, Germany.</t>
  </si>
  <si>
    <t>vhstrass@awi-bremerhaven.de</t>
  </si>
  <si>
    <t>Bathmann, Ulrich/ISV-4351-2023</t>
  </si>
  <si>
    <t>Strass, Volker/0000-0002-7539-1400</t>
  </si>
  <si>
    <t>PII S0967-0645(02)00107-8</t>
  </si>
  <si>
    <t>10.1016/S0967-0645(02)00107-8</t>
  </si>
  <si>
    <t>598EN</t>
  </si>
  <si>
    <t>WOS:000178262600001</t>
  </si>
  <si>
    <t>Strass, VH; Garabato, ACN; Pollard, RT; Fischer, HI; Hense, I; Allen, JT; Read, JF; Leach, H; Smetacek, V</t>
  </si>
  <si>
    <t>Mesoscale frontal dynamics: shaping the environment of primary production in the Antarctic Circumpolar Current</t>
  </si>
  <si>
    <t>SOUTHERN-OCEAN; SEASONAL THERMOCLINE; ATMOSPHERIC CO2; VERTICAL MOTION; MODEL; IRON; ACCUMULATION; INSTABILITY; CIRCULATION; BIOMASS</t>
  </si>
  <si>
    <t>The frontal regions of the Antarctic Circumpolar Current (ACC) differ from other parts of the ACC due to higher phytoplankton concentrations and primary production rates. We hypothesise that the enhancement of primary production results from the mesoscale frontal dynamics, in particular the cross-front circulation related to baroclinic instability. The hypothesis is corroborated by data collected in austral summer 1995/1996 at the Antarctic Polar Front between 1degreesW and 12degreesE during quasi-synoptic surveys with a measuring system combining towed and vessel-mounted instruments. Further confirmation is obtained from moored current meters and an earlier section worked across the front in austral winter 1992. The quasi-synoptic surveys cover a meander structure of the front and a cold cyclonic eddy located to its south. The highest chlorophyll concentrations, correlating with enhanced primary production rates, are found in a band of mesoscale patches aligned with the front and in a tongue extending southward from the front along the leading edge of a meander ridge. The increased chlorophyll concentrations at the meander edge are explained by confluence of surface water, which carries with. it the phytoplankton grown in favourable light conditions. While mesoscale surface confluence structures the synoptic chlorophyll distribution pattern, the mean enhancement of primary production at the front can be attributed to the influence of cross-front circulation on stratification. Ageostrophic cross-front circulation related to mesoscale upwelling and downwelling was identified at a site of eddy/front interaction. Consistent with the principle of potential vorticity conservation, upwelling was found to occur on the anticyclonic, equatorward side of the jet and downwelling on the cyclonic, poleward side in the frontogenetic situation. The associated cross-front circulation is characterised by poleward motion of light water at the surface and a reversed flow of dense water at greater depth; thus it contributes to stratification and thereby to a more favourable photic environment for the phytoplankton growing in the shallower mixed layer. While the cross-front circulation varies on horizontal scales of &lt; 10 to &gt; 100 km and time scales of days to weeks, it is constrained to sites of available potential energy, i.e. fronts marked by sloping isopycnals. With mixed-layer shallowing by cross-front circulation, we suggest a mechanism to explain the enhancement of primary production by mesoscale frontal dynamics in regions and during periods of light limitation. This complements the understanding of the importance of frontal dynamics for primary production, hitherto focussed on mesoscale upwelling of nutrients in the oligotrophic regime. (C) 2002 Elsevier Science Ltd. All rights reserved.</t>
  </si>
  <si>
    <t>Alfred Wegener Inst Polar &amp; Marine Res, D-27515 Bremerhaven, Germany; Univ Liverpool, Dept Earth Sci, Oceanog Labs, Liverpool L69 3BX, Merseyside, England; Univ E Anglia, Sch Environm Sci, Norwich NR4 7TJ, Norfolk, England; Southampton Oceanog Ctr, Southampton SO14 3ZH, Hants, England</t>
  </si>
  <si>
    <t>Helmholtz Association; Alfred Wegener Institute, Helmholtz Centre for Polar &amp; Marine Research; University of Liverpool; University of East Anglia; University of Southampton; NERC National Oceanography Centre</t>
  </si>
  <si>
    <t>Garabato, Alberto Naveira/AAQ-1114-2020; Allen, John Taylor/AHB-3419-2022</t>
  </si>
  <si>
    <t>Garabato, Alberto Naveira/0000-0001-6071-605X; Allen, John Taylor/0000-0001-7357-6623; Leach, Harry/0000-0003-1774-5167; Strass, Volker/0000-0002-7539-1400</t>
  </si>
  <si>
    <t>PII S0967-0645(02)00109-1</t>
  </si>
  <si>
    <t>10.1016/S0967-0645(02)00109-1</t>
  </si>
  <si>
    <t>WOS:000178262600003</t>
  </si>
  <si>
    <t>Garabato, ACN; Strass, VH; Kattner, G</t>
  </si>
  <si>
    <t>Fluxes of nutrients in a three-dimensional meander structure of the Antarctic Polar Front</t>
  </si>
  <si>
    <t>SOUTHERN-OCEAN; EQUATORIAL TURBULENCE; IRON FERTILIZATION; PARAMETERIZATION; EDDIES; PHYTOPLANKTON; PRODUCTIVITY; INSTABILITY; IMPACT; CYCLE</t>
  </si>
  <si>
    <t>The horizontal and vertical advection and the vertical diffusion of two plant nutrients (nitrate and silicate) are estimated at the Antarctic Polar Front (APF) in the Atlantic sector using quasi-synoptic, high-resolution physical and chemical measurements. Our results suggest that the routes of nutrient supply are more complex than indicated by existing large-scale views. The vertical advection associated with mesoscale upwelling events is shown to be between two and three orders of magnitude larger than the diffusion, and to potentially amount to the phytoplankton uptake rate locally. Averaged over the survey area, however, the vertical nutrient transport is downward and concords with the front acting as a barrier to the northward export of surface nutrients by the Ekman drift. This poses significant constraints on the global cycles of nutrients and may have an impact in the sediment record. (C) 2002 Elsevier Science Ltd. All rights reserved.</t>
  </si>
  <si>
    <t>Univ Liverpool, Oceanog Labs, Liverpool L69 3BX, Merseyside, England; Alfred Wegener Inst Polar &amp; Marine Res, D-27570 Bremerhaven, Germany</t>
  </si>
  <si>
    <t>University of Liverpool; Helmholtz Association; Alfred Wegener Institute, Helmholtz Centre for Polar &amp; Marine Research</t>
  </si>
  <si>
    <t>Garabato, Alberto Naveira/AAQ-1114-2020</t>
  </si>
  <si>
    <t>Garabato, Alberto Naveira/0000-0001-6071-605X; Strass, Volker/0000-0002-7539-1400</t>
  </si>
  <si>
    <t>PII S0967-0645(02)00110-8</t>
  </si>
  <si>
    <t>WOS:000178262600004</t>
  </si>
  <si>
    <t>Tremblay, JE; Lucas, MI; Kattner, G; Pollard, R; Strass, VH; Bathmann, U; Bracher, A</t>
  </si>
  <si>
    <t>Significance of the Polar Frontal Zone for large-sized diatoms and new production during summer in the Atlantic sector of the Southern Ocean</t>
  </si>
  <si>
    <t>AUSTRAL SPRING 1992; WEDDELL SEA; ICE-EDGE; ANTARCTIC PHYTOPLANKTON; SURFACE-WATER; C-14 METHOD; CARBON; EXPORT; NUTRIENT; BIOMASS</t>
  </si>
  <si>
    <t>The chlorophyll a (chl a) biomass and primary production of three phytoplankton size fractions were estimated in the Atlantic sector of the Southern Ocean from 12 December 1995 to 20 January 1996. Elevated concentrations of chl a, primary production, and contribution of microplankton (&gt; 20 mum) coincided with dominance by large or long-chained diatoms (Thalassiothrix spp., Pseudonitzschia lineola, and Chaetoceros spp.) in the Polar Frontal Zone (PFZ, 49.5degreesS-52degreesS). Vertically resolved assimilation numbers (i.e. primary production normalized to chl a) and intrinsic growth rates of microplankton were much lower at high-biomass stations of the Northern Polar Frontal Zone (NPFZ) than in adjacent waters. Silicic acid appeared to be the proximal factor limiting the growth and yield of resident diatoms in the NPFZ. A carbon budget showed that, during the sampling period, diatom dominance at high-biomass sites was associated with near-steady-state conditions. This system exhibited a low POC sinking flux relative to total primary production, despite strong dominance by microplankton. South of 52degreesS, total chl a and primary production were generally low, but increased sharply in a mixed Phaeocystis-diatom bloom that extended from 61degreesS to 65degreesS in the Seasonal Ice Zone (SIZ). We estimated that the PFZ contributes from 37% to 67% of the total open-water new production in the Southern Ocean near the Greenwich meridian, depending on whether blooms occur or not in the SIZ. (C) 2002 Elsevier Science Ltd. All rights reserved.</t>
  </si>
  <si>
    <t>Alfred Wegener Inst Polar &amp; Marine Res, D-27515 Bremerhaven, Germany; Southampton Oceanog Ctr, Southampton SO14 3ZH, Hants, England</t>
  </si>
  <si>
    <t>Helmholtz Association; Alfred Wegener Institute, Helmholtz Centre for Polar &amp; Marine Research; University of Southampton; NERC National Oceanography Centre</t>
  </si>
  <si>
    <t>McGill Univ, Dept Biol, 1205 Doctor Penfield Ave, Montreal, PQ H3A 1B1, Canada.</t>
  </si>
  <si>
    <t>jett@globetrotter.qc.ca</t>
  </si>
  <si>
    <t>Bathmann, Ulrich/ISV-4351-2023; Bracher, Astrid/B-7805-2013; Bracher, Astrid/I-2672-2013</t>
  </si>
  <si>
    <t>Bracher, Astrid/0000-0003-3025-5517; Strass, Volker/0000-0002-7539-1400</t>
  </si>
  <si>
    <t>PII S0967-0645(02)00111-X</t>
  </si>
  <si>
    <t>10.1016/S0967-0645(02)00111-X</t>
  </si>
  <si>
    <t>WOS:000178262600005</t>
  </si>
  <si>
    <t>Strass, VH; Garabato, ACN; Bracher, AU; Pollard, RT; Lucas, MI</t>
  </si>
  <si>
    <t>A 3-D mesoscale map of primary production at the Antarctic Polar Front: results of a diagnostic model</t>
  </si>
  <si>
    <t>SOUTHERN-OCEAN; ATMOSPHERIC CO2; ATLANTIC SECTOR; SURFACE-WATER; ICE CORE; PHYTOPLANKTON; LIGHT; PHOTOSYNTHESIS; VARIABILITY; ZONE</t>
  </si>
  <si>
    <t>A diagnostic model is established to estimate synoptically the mesoscale distribution of primary production at the Antarctic Polar Front (APF). The model domain is a 3-D box, centred at roughly 50degreesS and 10degreesE, of about 1degrees latitude and 2degrees longitude horizontal extent, and of 300 in depth. The box was surveyed in high resolution during austral summer 1995/1996 with a towed undulating vehicle and by complementary ship-based measurements. Measurements of global solar radiation, of the underwater light field, and of the chlorophyll concentration from the survey are used as input variables for the model. The model is based on photosynthesis-light relationships, with parameters taken from in vitro incubations performed during the survey. The model results show mesoscale patches of elevated primary production along a meander of the APF, and lowest production in a cold cyclonic eddy south of the front. Production is confined to a shallower depth range in the front than outside, due to self-shading effects from generally higher mixed-layer chlorophyll concentrations. Self-shading effects account for variations of the percent light depths, and of the saturation light depth, by a factor of 2 within the survey area. Primary production at the surface varies horizontally between 7 and 56mg Cm-3 d(-1), with a mean of 26mg Cm-3 d(-1), and vertically integrated production ranges from 295 to 975mg Cm-2 d(-1), with an areal mean of 585 mg Cm-3 d(-1). Changes by a factor of 2 in integrated production occur on horizontal scales as small as 10km. Production rates also differ significantly between days as a result of changes in global solar radiation. (C) 2002 Elsevier Science Ltd. All rights reserved.</t>
  </si>
  <si>
    <t>Alfred Wegener Inst Polar &amp; Marine Res, D-27515 Bremerhaven, Germany; Univ Liverpool, Dept Earth Sci, Oceanog Labs, Liverpool L69 3BX, Merseyside, England; Southampton Oceanog Ctr, Southampton SO14 3ZH, Hants, England; Univ Cape Town, Dept Zool, ZA-7700 Rondebosch, South Africa</t>
  </si>
  <si>
    <t>Helmholtz Association; Alfred Wegener Institute, Helmholtz Centre for Polar &amp; Marine Research; University of Liverpool; University of Southampton; NERC National Oceanography Centre; University of Cape Town</t>
  </si>
  <si>
    <t>Alfred Wegener Inst Polar &amp; Marine Res, Postfach 120161,Columbusstr, D-27515 Bremerhaven, Germany.</t>
  </si>
  <si>
    <t>Bracher, Astrid/I-2672-2013; Garabato, Alberto Naveira/AAQ-1114-2020; Bracher, Astrid/B-7805-2013</t>
  </si>
  <si>
    <t>Bracher, Astrid/0000-0003-3025-5517; Garabato, Alberto Naveira/0000-0001-6071-605X; Strass, Volker/0000-0002-7539-1400</t>
  </si>
  <si>
    <t>PII S0967-0645(02)00112-1</t>
  </si>
  <si>
    <t>10.1016/S0967-0645(02)00112-1</t>
  </si>
  <si>
    <t>WOS:000178262600006</t>
  </si>
  <si>
    <t>Smetacek, V; Klaas, C; Menden-Deuer, S; Rynearson, TA</t>
  </si>
  <si>
    <t>Mesoscale distribution of dominant diatom species relative to the hydrographical field along the Antarctic Polar Front</t>
  </si>
  <si>
    <t>SOUTHERN-OCEAN; MARINE DIATOMS; VOLUME RELATIONSHIPS; IRON; PLANKTON; CARBON; PHYTOPLANKTON; MECHANISMS; PREDATION; COPEPODS</t>
  </si>
  <si>
    <t>The quantitative distribution of dominant phytoplankton species was mapped at high spatial resolution (15 km spacing) during a quasi-synoptic, mesoscale survey of hydrographical, chemical, pigment, and zooplankton fields carried out along the Antarctic Polar Front within a grid 140 x 130 kin 2 during austral summer. A rapid assessment method for quantifying phytoplankton species by microscopy in concentrated samples on board enabled estimation of total biomass and that of dominant species at hourly sampling intervals. The biomass distribution pattern derived from this method was remarkably coherent and correlated very well with chlorophyll concentrations and the location of different water masses covered by the grid. A background chlorophyll concentration of 0.5 mg m(-3) in the grid could be assigned to the uniformly distributed pico- and nanophytoplankton; all higher values (up to 2.0 mg m(-3)) were contributed by large diatoms. Three species complexes (Chaetoceros atlanticus/dichaeta, Pseudo-nitzschia cf. Lineola, and Thalassiothrix antarctica) contributed about one-third each to the biomass. Although all species were found throughout the study area, distinct patterns in abundance emerged: The Thalassiothrix maximum was located north of the frontal jet, Chaetoceros biomass was highest along the jet, and Pseudo-nitzschia was the most uniformly distributed of the three taxa. Since the meridional pattern of biomass and species composition persisted for about 5 weeks, despite heavy grazing pressure of small copepods, we hypothesize that the dominant species reflect the highest degree of grazer protection in the assemblage. This is accomplished by large size, needle-shaped cells, and long spines armed with barbs. We suggest that these persistent species sequester the limiting nutrient-iron-from the assemblage of smaller, less-defended species that must hence have higher turn-over rates. (C) 2002 Elsevier Science Ltd. All rights reserved.</t>
  </si>
  <si>
    <t>Alfred Wegener Inst Polar &amp; Marine Res, D-27570 Bremerhaven, Germany; Univ Chicago, Dept Geophys Sci, Chicago, IL 60637 USA; Univ Washington, Sch Oceanog, Seattle, WA 98195 USA</t>
  </si>
  <si>
    <t>Helmholtz Association; Alfred Wegener Institute, Helmholtz Centre for Polar &amp; Marine Research; University of Chicago; University of Washington; University of Washington Seattle</t>
  </si>
  <si>
    <t>Smetacek, V (corresponding author), Alfred Wegener Inst Polar &amp; Marine Res, Handelshafen 12, D-27570 Bremerhaven, Germany.</t>
  </si>
  <si>
    <t>Klaas, Christine/0000-0002-6679-8970; Menden-Deuer, Susanne/0000-0002-8434-4251</t>
  </si>
  <si>
    <t>PII S0967-0645(02)00113-3</t>
  </si>
  <si>
    <t>10.1016/S0967-0645(02)00113-3</t>
  </si>
  <si>
    <t>WOS:000178262600007</t>
  </si>
  <si>
    <t>van der Loeff, MMR; Buesseler, K; Bathmann, U; Hense, I; Andrews, J</t>
  </si>
  <si>
    <t>Comparison of carbon and opal export rates between summer and spring bloom periods in the region of the Antarctic Polar Front, SE Atlantic</t>
  </si>
  <si>
    <t>PARTICULATE ORGANIC-CARBON; SOUTHERN-OCEAN; BIOGENIC SILICA; SEDIMENT TRAPS; PARTICLE-FLUX; WEDDELL SEA; INTERGLACIAL CHANGES; SURFACE WATERS; NORTH-ATLANTIC; INDIAN SECTOR</t>
  </si>
  <si>
    <t>Although primary production in the Antarctic Circumpolar Current is not above the world average and carbon burial rates are low, 70% of the world's opal burial occurs in this zone and it has been suggested that blooms of large diatoms are responsible for this extraordinary situation. Here we compare export fluxes during bloom and steady-state situations near the Antarctic Polar Front in the SE Atlantic. In a previous expedition during the austral spring, we observed the development of a bloom that led to the sudden export of particles (Deep-Sea Res. II 44 (1997) 457). Here we report the results of a second expedition to the same area in summer (December-January), 3 years later. Th-234 was monitored in the surface water and in Rosette casts down to a 2 water depth of 500 m as tracer of export production in an intensive sampling program within a box of 275 x 375 km. The distribution of particulate and dissolved Th-234 was remarkably constant over time and location. Total (dissolved + particulate) Th-234 activities were depleted relative to its parent U-238 at the surface (Th-234/U-238 activity ratio approximately 83 %), reaching equilibrium at a depth of around 190 m. This constant depletion corresponds to a Th-234 export rate of 1115 dpm/m(2)/d, 35% of the value observed during the spring bloom. Below 80m depth, Th-234 on suspended particles correlates well with both particulate organic carbon (POC) and particulate biogenic silica (BSi), with a POC/Th-234 ratio of 10.2 +/- 0.8 mumol/dpm and a BSi/Th-234 ratio of 2.9 +/- 0.2 mumol/dpm. Using these ratios, the export from the upper 190m is calculated to be 11.3 mmol C/m(2)/d and 3.2mmol Si/m(2)/d. The export rates from the /d and 2.5 mmol Si/m(2)/d. surface mixed layer (at 100 m depth) are 8.8 mmol C/m(2) Thus, whereas in spring we had observed a sudden increase from a negligible to a high export rate, the summer situation around the Polar Front was characterized by a lower but steady export rate. This summer flux contributes a similar fraction to the annual export budget as the previously observed spring bloom, which has higher export rates but a much shorter duration. (C) 2002 Elsevier Science Ltd. All rights reserved.</t>
  </si>
  <si>
    <t>Alfred Wegener Inst Polar &amp; Marine Res, D-27515 Bremerhaven, Germany; Woods Hole Oceanog Inst, Woods Hole, MA 02543 USA</t>
  </si>
  <si>
    <t>Helmholtz Association; Alfred Wegener Institute, Helmholtz Centre for Polar &amp; Marine Research; Woods Hole Oceanographic Institution</t>
  </si>
  <si>
    <t>M.M.Rutgersvanderloeff@rikz.rws.min-venw.nl</t>
  </si>
  <si>
    <t>PII S0967-0645(02)00114-5</t>
  </si>
  <si>
    <t>WOS:000178262600008</t>
  </si>
  <si>
    <t>Dubischar, CD; Lopes, RM; Bathmann, UV</t>
  </si>
  <si>
    <t>High summer abundances of small pelagic copepods at the Antarctic Polar Front - implications for ecosystem dynamics</t>
  </si>
  <si>
    <t>EASTERN WEDDELL-SEA; LIFE-CYCLE STRATEGIES; SOUTHERN-OCEAN; ATLANTIC SECTOR; ZOOPLANKTON COMMUNITY; CALANUS-PROPINQUUS; CALANOIDES-ACUTUS; FEEDING SELECTIVITY; CIRCUMPOLAR CURRENT; SEASONAL-VARIATIONS</t>
  </si>
  <si>
    <t>Within the framework of the SO-JGOFS, we investigated the distribution of small copepods (&lt; 2.0 mm) in relation to the hydrography of the Antarctic Polar Front during summer 1995/96. The community of small copepods was dominated by Oithona similis, followed by Oithona frigida and Ctenocalanus citer. The total abundance of these copepods was extremely high throughout the study area, with peaks of up to 49, 000 ind. m(-3), to which naupliar and early copepodid stages (CI-CIII) contributed a high percentage. The accumulation of such a high standing-stock of small copepods is probably related to retention mechanisms provided by the meandering structure of the frontal system and to the biology of the dominant species Oithona similis, Oithona frigida, and Ctenocalanus citer. Stage distribution and metabolic demand of the dominant species indicate a very active and productive zooplankton community, with high grazing pressure on smaller plankton particles and faecal material, leading to high recycling efficiencies and low export rates due to sinking material. This study gives further support to recent findings that small copepod species and early developmental stages of all species are key components of the plankton food web of the Southern Ocean. (C) 2002 Elsevier Science Ltd. All rights reserved.</t>
  </si>
  <si>
    <t>Alfred Wegener Inst Polar &amp; Marine Res, D-27515 Bremerhaven, Germany; Univ Estadual Santa Cruz, Dept Ciencias Biol, Ilheus, Brazil</t>
  </si>
  <si>
    <t>Helmholtz Association; Alfred Wegener Institute, Helmholtz Centre for Polar &amp; Marine Research; Universidade Estadual de Santa Cruz</t>
  </si>
  <si>
    <t>Alfred Wegener Inst Polar &amp; Marine Res, Handelshafen 12, D-27515 Bremerhaven, Germany.</t>
  </si>
  <si>
    <t>cdubischar@awi-bremerhaven.de</t>
  </si>
  <si>
    <t>Lopes, Rubens/C-6335-2012</t>
  </si>
  <si>
    <t>Lopes, Rubens/0000-0002-9709-073X</t>
  </si>
  <si>
    <t>PII S0967-0645(02)00115-7</t>
  </si>
  <si>
    <t>10.1016/S0967-0645(02)00115-7</t>
  </si>
  <si>
    <t>WOS:000178262600009</t>
  </si>
  <si>
    <t>Pollard, RT; Bathmann, U; Dubischar, C; Read, JF; Lucas, M</t>
  </si>
  <si>
    <t>Zooplankton distribution and behaviour in the Southern Ocean from surveys with a towed Optical Plankton Counter</t>
  </si>
  <si>
    <t>PHYTOPLANKTON BIOMASS; DISPLACEMENT VOLUME; SIZE DISTRIBUTION; ATLANTIC SECTOR; DRY-WEIGHT; WET WEIGHT; CALIBRATION; COPEPODS; FRONT</t>
  </si>
  <si>
    <t>Spatial distributions of zooplankton with lengths between about 500 mum and 8 mm are described from surveys in the vicinity of the Antarctic Polar Front in austral summer 1995/6 using an Optical Plankton Counter mounted on a towed profiling SeaSoar. The distributions, split into several logarithmically spaced size classes, are compared and related to the physical environment south of the Polar Front in the Antarctic Zone and within the Polar Frontal Zone. They also are compared with phytoplankton distributions determined from surface chlorophyll data. Both phytoplankton and zooplankton carbon densities are low in the Antarctic Zone (2-3 g C m(-2)), but rise to larger values in the Polar Frontal Zone (5-7gCm(-2) for zooplankton and a maximum of 6gCm(-2) at fronts for phytoplankton). Calibration of OPC derived zooplankton biovolume to carbon was achieved by comparison with dry weights from multinet samples deployed in conjunction with CTD casts. The net data showed that over 98% of zooplankton counts were copepods. Diel behaviour also was examined. Only larger copepods (over 2 mm long) displayed significant diel migration, and then only 10-20% of the standing stock; the majority remained deeper than about 100m and their distribution patterns suggest that they may be retained aside from the main frontal jets by ageostrophic circulations associated with the front. Copepods shorter than 2 mm rose from depth over the month-long survey to become concentrated in the surface layer (the top 70-100m). The largest copepods that could be resolved, with lengths of about 4-8mm (possibly Rhincalanus gigas), displayed unexpected behaviour in tending to migrate to the top 0-10m by day, descending to 40-50m each night. (C) 2002 NERC. Published by Elsevier Science Ltd. All rights reserved.</t>
  </si>
  <si>
    <t>Southampton Oceanog Ctr, Southampton SO14 3ZH, Hants, England; Alfred Wegener Inst Polar &amp; Marine Res, D-27515 Bremerhaven, Germany</t>
  </si>
  <si>
    <t>University of Southampton; NERC National Oceanography Centre; Helmholtz Association; Alfred Wegener Institute, Helmholtz Centre for Polar &amp; Marine Research</t>
  </si>
  <si>
    <t>rtp@soc.soton.ac.uk</t>
  </si>
  <si>
    <t>PII S0967-0645(02)00116-9</t>
  </si>
  <si>
    <t>10.1016/S0967-0645(02)00116-9</t>
  </si>
  <si>
    <t>WOS:000178262600010</t>
  </si>
  <si>
    <t>Vélez-Belchí, P; Allen, JT; Strass, VH</t>
  </si>
  <si>
    <t>A new way to look at mesoscale zooplankton distributions:: an application at the Antarctic Polar Front</t>
  </si>
  <si>
    <t>DOPPLER CURRENT PROFILER; DIEL VERTICAL MIGRATION; ALMERIA-ORAN FRONT; ACOUSTIC BACKSCATTER; BELLINGSHAUSEN SEA; PHYSICAL STRUCTURE; SUBDUCTION; ABUNDANCE; ATLANTIC; PATTERNS</t>
  </si>
  <si>
    <t>During the austral summer of 1996 an intensive multidisciplinary survey was carried out in the Antarctic Polar Front. In this paper, we examine the relationship between hydrographic features and the acoustic backscatter signal from a vessel-mounted acoustic Doppler current profiler. We introduce two new analysis methods: mapping of depth-integrated scattering cross section and a model of the vertical zooplankton distribution through idealised population dynamics. Three distinct layers are characterised by a different balance between diel migration behaviour and direct/indirect forcing by mesoscale physical processes in the ocean. (C) 2002 Elsevier Science Ltd. All rights reserved.</t>
  </si>
  <si>
    <t>Ctr Oceanog Canarias, Inst Espanol Oceanog, E-38180 Santa Cruz de Tenerife, Spain; Univ Illes Balears, Dept Fis, E-07071 Palma de Mallorca, Spain; Southampton Oceanog Ctr, George Deacon Div, Southampton SO14 3ZH, Hants, England; Alfred Wegener Inst Polar &amp; Marine Res, D-27515 Bremerhaven, Germany</t>
  </si>
  <si>
    <t>Spanish Institute of Oceanography; Universitat de les Illes Balears; University of Southampton; NERC National Oceanography Centre; Helmholtz Association; Alfred Wegener Institute, Helmholtz Centre for Polar &amp; Marine Research</t>
  </si>
  <si>
    <t>pvb@ieo.rcanaria.es; j.allen@soc.soton.ac.uk; vhstrass@awi-bremerha-ven.de</t>
  </si>
  <si>
    <t>Velez-Belchi, Pedro/I-9150-2017</t>
  </si>
  <si>
    <t>Velez-Belchi, Pedro/0000-0003-2404-5679; Strass, Volker/0000-0002-7539-1400</t>
  </si>
  <si>
    <t>PII S0967-0645(02)00117-0</t>
  </si>
  <si>
    <t>10.1016/S0967-0645(02)00117-0</t>
  </si>
  <si>
    <t>WOS:000178262600011</t>
  </si>
  <si>
    <t>van Franeker, JA; van den Brink, NW; Bathmann, UV; Pollard, RT; de Barr, HJW; Wolff, WJ</t>
  </si>
  <si>
    <t>Responses of seabirds, in particular prions (Pachyptila sp.), to small-scale processes in the Antarctic Polar Front</t>
  </si>
  <si>
    <t>SOUTHERN-OCEAN; INTERANNUAL VARIATION; COUNTING SEABIRDS; SURFACE WATERS; CARBON-DIOXIDE; PREDATORS; DISTRIBUTIONS; ZOOPLANKTON; FIELD; PREY</t>
  </si>
  <si>
    <t>Small-scale distribution patterns of seabirds in the Antarctic Polar Front (APF) were investigated in relation to other biological, physical, and chemical features during the ANT-XIII/2 research cruise of R.V. Polarstern from December 1995 to January 1996. The APF is characterized by steep gradients in sea-surface temperature and salinity. Within the APF, gradient zones were closely associated with elevated levels of primary production, chlorophyll-a (chl-a) concentrations, and zooplankton densities. Even broad-billed prions ('Pachyptila vittata-group'), which dominated the seabird community by 83% in carbon requirements, showed small-scale distributional patterns that were positively related to primary production, chl-a, and total zooplankton densities. The findings demonstrate a close, direct link between fine-scale physical processes in the APF and biological activity through several food web levels up to that of zooplankton-eating seabirds. Broad-billed prions appeared to forage on very small copepods (Oithona spp.) in close association with the front. Fish- and squid-eating predators showed poor correlations with small-scale spatial structures of the APF. However, in a wider band around the APF, most top predators did occur in elevated densities, showing gradual spatio-temporal diffusion of the impact of the APF on higher trophic levels. (C) 2002 Elsevier Science Ltd. All rights reserved.</t>
  </si>
  <si>
    <t>Alterra Texel, Marine &amp; Coastal Zone Res, NL-1790 AD Den Burg, Texel, Netherlands; Alfred Wegener Inst Polar &amp; Marine Res, D-27515 Bremerhaven, Germany; Southampton Oceanog Ctr, Southampton SO14 3ZH, Hants, England; Netherlands Inst Sea Res, NIOZ, NL-1790 AD Den Burg, Texel, Netherlands; Univ Groningen, Dept Marine Biol, NL-9750 AA Haren, Netherlands</t>
  </si>
  <si>
    <t>Wageningen University &amp; Research; Helmholtz Association; Alfred Wegener Institute, Helmholtz Centre for Polar &amp; Marine Research; University of Southampton; NERC National Oceanography Centre; Utrecht University; Royal Netherlands Institute for Sea Research (NIOZ); University of Groningen</t>
  </si>
  <si>
    <t>Alterra Texel, Marine &amp; Coastal Zone Res, POB 167, NL-1790 AD Den Burg, Texel, Netherlands.</t>
  </si>
  <si>
    <t>j.a.vanfraneker@alterra.wag-ur.nl</t>
  </si>
  <si>
    <t>van den Brink, Paul J/E-8315-2013</t>
  </si>
  <si>
    <t>van den Brink, Nico/0000-0001-7959-3344</t>
  </si>
  <si>
    <t>PII S0967-0645(02)00118-2</t>
  </si>
  <si>
    <t>10.1016/S0967-0645(02)00118-2</t>
  </si>
  <si>
    <t>WOS:000178262600012</t>
  </si>
  <si>
    <t>Cabeçadas, G; Brogueira, MJ; Gonçalves, C</t>
  </si>
  <si>
    <t>The chemistry of Mediterranean outflow and its interactions with surrounding waters</t>
  </si>
  <si>
    <t>ATLANTIC-OCEAN; MEDDY; CIRCULATION; TRACERS</t>
  </si>
  <si>
    <t>The spreading of the Mediterranean water (MW) and its interactions with the surrounding waters are described and discussed in terms of oxygen and nutrient patterns in the Gulf of Cadiz and off the southern Portuguese coast, in winter of 1998. Low concentrations of nutrients and relatively constant levels of dissolved oxygen, by comparison with those of the surrounding waters, were associated with the warm and saline MW outflow. Three cores of the MW have been identified, the deeper core presenting higher nutrients and lower dissolved oxygen concentrations than the upper two cores. Closer to the Strait of Gibraltar the MW remained pressed against the continental slope, while to the west the cores spread horizontally offshore. At the deeper MW layers some irregularities were noticed in the nutrient fields, apparently associated with the complex topography of the Portimao Canyon. The North Atlantic Central Water (NACW) and the North Atlantic Deep Water (NADW) were chemically identified in the area. A water mass displaying a well-defined minimum Of O-2 (157 mumol kg(-1)) and high concentrations of nutrients have been detected, entrained approximately from 750 to 1000 m depth, and lying between the two main MW cores inshore, and overlying the lower core of MW offshore. It is suggested that this water mass is a remnant of the Antarctic Intermediate Water (AAIW). (C) 2002 Elsevier Science Ltd. All rights reserved.</t>
  </si>
  <si>
    <t>Inst Invest Pescas &amp; Mar, P-1449006 Lisbon, Portugal</t>
  </si>
  <si>
    <t>Cabeçadas, G (corresponding author), Inst Invest Pescas &amp; Mar, Av Brasilia, P-1449006 Lisbon, Portugal.</t>
  </si>
  <si>
    <t>Goncalves, Celia/0000-0001-5524-1256</t>
  </si>
  <si>
    <t>PII S0967-0645(02)00154-6</t>
  </si>
  <si>
    <t>10.1016/S0967-0645(02)00154-6</t>
  </si>
  <si>
    <t>598ER</t>
  </si>
  <si>
    <t>WOS:000178262900019</t>
  </si>
  <si>
    <t>Muench, RD; Hellmer, HH</t>
  </si>
  <si>
    <t>The international DOVETAIL program</t>
  </si>
  <si>
    <t>WEDDELL-SCOTIA CONFLUENCE; ANTARCTIC BOTTOM WATER; BRANSFIELD STRAIT; SEA; DEEP; CIRCULATION; STRATIFICATION</t>
  </si>
  <si>
    <t>The Deep Ocean Ventilation Through Antarctic Intermediate Layers (DOVETAIL) program is an international field and modeling study of the dense deep and bottom waters of the northwestern Weddell Sea. A primary program goal has been to estimate the volume transport and pathways of these waters, long considered to be a major source of Antarctic Bottom Water, as they escape from the Weddell Sea over and through the South Scotia Ridge into the Scotia Sea. Corollary goals are to assess modification of the stratification during passage through the narrow, steep-sided, and irregular channels that transect the Ridge. The program has evolved, since its start in 1997 as a primarily process-oriented project, into a multiyear observational study of the northwestern Weddell Sea-southern Scotia Sea including the Weddell-Scotia Confluence region. An additional program goal therefore has become the estimation of interannual variability in the physical system. This volume contains a collection of papers that present recent field and model-derived results from the DOVETAIL program. (C) 2002 Elsevier Science Ltd. All rights reserved.</t>
  </si>
  <si>
    <t>Earth &amp; Space Res, Seattle, WA 98102 USA; Alfred Wegener Inst Polar &amp; Marine Res, D-27570 Bremerhaven, Germany</t>
  </si>
  <si>
    <t>Muench, RD (corresponding author), Earth &amp; Space Res, 1910 Fairview E,Suite 102, Seattle, WA 98102 USA.</t>
  </si>
  <si>
    <t>PII S0967-0645(02)00155-8</t>
  </si>
  <si>
    <t>10.1016/S0967-0645(02)00155-8</t>
  </si>
  <si>
    <t>608AJ</t>
  </si>
  <si>
    <t>WOS:000178822700001</t>
  </si>
  <si>
    <t>Garabato, ACN; McDonagh, EL; Stevens, DP; Heywood, KJ; Sanders, RJ</t>
  </si>
  <si>
    <t>On the export of Antarctic Bottom Water from the Weddell Sea</t>
  </si>
  <si>
    <t>SOUTHERN-OCEAN; BRANSFIELD STRAIT; DEEP-WATER; HEAT-FLUX; NUMERICAL-MODEL; SCOTIA SEA; CIRCULATION; EASTERN; ICE; TRANSPORT</t>
  </si>
  <si>
    <t>A survey of the current field over the South Scotia Ridge, obtained with a lowered Acoustic Doppler Current Profiler (LADCP), is presented. There is a pattern of northward (southward) flow on the western (eastern) side of each of four deep passages in the ridge, which is supported by tracer measurements. The net full-depth LADCP-referenced geostrophic transport over the ridge is 22+/-7Sv (1 Sv = 10(6) m(3) s(-1)) northward, with the jets on either side of the passages transporting 5-10Sv in alternating directions. The corresponding Weddell Sea Deep Water (WSDW) transport over the ridge is 6.7+/-1.7 Sv. This is a factor of 4 larger than the only previous estimate in the literature, and suggests that a significant proportion of the Antarctic Bottom Water (AABW) invading the world ocean abyss escapes the Weddell Sea via the Scotia Sea. The net full-depth and WSDW transports over the ridge are modified to 7+/-6 and 4.7+/-0.7 Sv, respectively, by a box inverse model of the western Weddell Gyre. The model incorporates the WOCE A23 crossing of the central part of the gyre and a set of five constraints synthesizing our previous oceanographic knowledge of the region. It diagnoses that 9.7+/-3.7 Sv of AABW are formed in the Weddell Sea, and that comparable amounts are exported over the South Scotia Ridge (similar to48 %) and further east (similar to52%) assuming that no AABW enters the Weddell Gyre from the Indian Ocean. The WSDW fraction with neutral density gamma(n)&gt;28.31 kg m(-3) transported over the ridge upwells in the Scotia Sea at a rate of 6x10(-6)m s(-1), an order of magnitude larger than many basin-scale estimates of deep upwelling in the literature. In contrast, the Weddell Sea Bottom Water exported to the eastern Weddell Gyre entrains upward at a rate of 8x10(-7) m s(-1), more typical of other open-ocean regions. When their different ventilation histories are considered, the comparable transports and disparate upwelling rates of the AABW exported over the South Scotia Ridge and farther east may be crucial to our understanding of teleconnections between the Weddell Sea and the global ocean. (C) 2002 Elsevier Science Ltd. All rights reserved.</t>
  </si>
  <si>
    <t>a.naveira-garabato@uea.ac.uk</t>
  </si>
  <si>
    <t>Sanders, Richard J/B-8717-2012; Garabato, Alberto Naveira/AAQ-1114-2020; Stevens, David/F-2509-2010; Heywood, Karen/L-1757-2016</t>
  </si>
  <si>
    <t>Sanders, Richard J/0000-0002-6884-7131; Garabato, Alberto Naveira/0000-0001-6071-605X; Stevens, David/0000-0002-7283-4405; Heywood, Karen/0000-0001-9859-0026; McDonagh, Elaine/0000-0002-8813-4585</t>
  </si>
  <si>
    <t>PII S0967-0645(02)00156-X</t>
  </si>
  <si>
    <t>10.1016/S0967-0645(02)00156-X</t>
  </si>
  <si>
    <t>WOS:000178822700002</t>
  </si>
  <si>
    <t>von Gyldenfeldt, AB; Fahrbach, E; García, MA; Schröder, M</t>
  </si>
  <si>
    <t>Flow variability at the tip of the Antarctic Peninsula</t>
  </si>
  <si>
    <t>WEDDELL-SCOTIA CONFLUENCE; BOTTOM WATER; BRANSFIELD STRAIT; SEA DEEP; CIRCULATION; STRATIFICATION; TRANSPORT; BASINS; MARGIN; OCEAN</t>
  </si>
  <si>
    <t>Recently ventilated water leaves the landlocked northwestern Weddell Sea near the Antarctic Peninsula and possibly spreads out into the basins of the world oceans at shallow to intermediate depths. To determine the pathways of the water through the complex topography and the flow variability, water-mass circulation and properties are described in the northwestern Weddell Sea and along the boundary of the Powell Basin by means of data from current-meter moorings and hydrographic sections. The mean flow is strongly controlled by the topography. Meso-scale, seasonal and interannual fluctuations are superimposed. The mean northward volume transport of shelf water, which represents the potential source water for intermediate layer ventilation, is estimated for the time interval between May 1996 and March 1998 to be 2.4+/-1.0 Sv. Water-mass properties suggest that much of this water leaves the Weddell Sea to Bransfield Strait and therefore does not reach the Weddell Scotia Confluence. The water masses are able to serve as the only source of Bransfield Strait deep water since the shelf water properties in the northwestern Weddell Sea vary over time within a range that corresponds to the required source waters. The Scotia Sea is supplied by water from the Powell Basin, which has varied significantly over the past two decades. (C) 2002 Elsevier Science Ltd. All rights reserved.</t>
  </si>
  <si>
    <t>Alfred Wegener Inst Polar &amp; Marine Res, D-27515 Bremerhaven, Germany; Univ Politecn Catalunya, ETS Engn Camins Canals &amp; Ports, Lab Engn Maritima, ES-08034 Barcelona, Spain; Generalitat Catalunya, Direccio Gen Ports &amp; Transports, Barcelona 08029, Spain</t>
  </si>
  <si>
    <t>Helmholtz Association; Alfred Wegener Institute, Helmholtz Centre for Polar &amp; Marine Research; Universitat Politecnica de Catalunya</t>
  </si>
  <si>
    <t>von Gyldenfeldt, AB (corresponding author), Alfred Wegener Inst Polar &amp; Marine Res, POB 120161, D-27515 Bremerhaven, Germany.</t>
  </si>
  <si>
    <t>PII S0967-0645(02)00157-1</t>
  </si>
  <si>
    <t>10.1016/S0967-0645(02)00157-1</t>
  </si>
  <si>
    <t>WOS:000178822700003</t>
  </si>
  <si>
    <t>Robertson, R; Visbeck, M; Gordon, AL; Fahrbach, E</t>
  </si>
  <si>
    <t>Long-term temperature trends in the deep waters of the Weddell Sea</t>
  </si>
  <si>
    <t>ANTARCTIC CIRCUMPOLAR WAVE; BOTTOM WATER; GYRE; CIRCULATION; OCEAN; STRATIFICATION; VARIABILITY; TRANSPORT; FLOW; WEST</t>
  </si>
  <si>
    <t>Warming of the deep water in the Weddell Sea has important implications for Antarctic bottom water formation, melting of pack ice, and the regional ocean-atmosphere heat transfer. In order to evaluate warming trends in the Weddell Sea, a historical data set encompassing CTD and bottle data from 1912 to 2000 was analyzed for temporal trends in the deep water masses: warm deep water (WDW) and Weddell Sea deep water (WSDW). The coldest WDW temperatures were primarily associated with the Weddell Polynya of the mid-1970s. Subsequent warming occurred at a rate of similar to0.012+/-0.007degreesCyr(-1) from the 1970s to 1990s. This warming was comparable to the global, average surface water warming observed by Levitus et al. (Science 287 (2000) 2225), to the warming of the WSBW in the central Weddell Sea observed by Fahrbach et al. (Filchner-Ronne Ice Shelf Program, Report No. 12, Alfred-Wegener-Institut, Bremerhaven, Germany, 1998a, p.24), and to the surface ice temperature warming from 1970 to 1998 in the Weddell Sea observed by Comiso (J. Climate 13 (2000) 1674). The warming was not compensated by an increase in salinity, and thus the WDW became less dense. The location of the warmest temperature was displaced towards the surface by similar to200m from the 1970s to the 1990s. Although the average WSDW potential temperatures between 1500 and 3500m were warmer in the 1990s than in the 1970s, high variability in the data prevented identification of a well-defined temporal trend. (C) 2002 Elsevier Science Ltd. All rights reserved.</t>
  </si>
  <si>
    <t>Columbia Univ, Lamont Doherty Earth Observ, Palisades, NY 10964 USA; Alfred Wegener Inst Polar &amp; Marine Res, D-27515 Bremerhaven, Germany</t>
  </si>
  <si>
    <t>Columbia University; Helmholtz Association; Alfred Wegener Institute, Helmholtz Centre for Polar &amp; Marine Research</t>
  </si>
  <si>
    <t>Robertson, R (corresponding author), Columbia Univ, Lamont Doherty Earth Observ, Palisades, NY 10964 USA.</t>
  </si>
  <si>
    <t>Robertson, Robin/T-5491-2019; Visbeck, Martin H/B-6541-2016; Visbeck, Martin/G-2461-2011; Gordon, Arnold/H-1049-2011</t>
  </si>
  <si>
    <t>Visbeck, Martin H/0000-0002-0844-834X; Visbeck, Martin/0000-0002-0844-834X;</t>
  </si>
  <si>
    <t>PII S0967-0645(02)00159-5</t>
  </si>
  <si>
    <t>10.1016/S0967-0645(02)00159-5</t>
  </si>
  <si>
    <t>WOS:000178822700005</t>
  </si>
  <si>
    <t>Matano, RP; Gordon, AL; Muench, RD; Palma, ED</t>
  </si>
  <si>
    <t>A numerical study of the circulation in the northwestern Weddell Sea</t>
  </si>
  <si>
    <t>BRANSFIELD STRAIT; SCOTIA CONFLUENCE; BOTTOM WATER; GYRE; TRANSPORT; DEEP; STRATIFICATION; MARGIN</t>
  </si>
  <si>
    <t>An eddy-permitting simulation is used to study the circulation of the northwestern Weddell Sea and its interaction with the Scotia Sea. The analysis focuses on the circulation pathways, associated stratification, and volume transports. Comparison between model results and observations show reasonable agreements with respect to the modeled thermohaline stratification and circulation such as export of Weddell Sea Deep Water through the Weddell-Scotia Confluence region. Using the model results, we estimated the relative contributions of the two main routes of escape of the Weddell Sea deep waters into the Scotia Sea and the South Sandwich Trench. The main route for inter-basin exchange is found to be through the Scotia Sea (via the South Orkney Passage and the Bransfield Strait). Our simulation does not show advective transport of deep or bottom waters through the South Sandwich Trench, and Lagrangian analysis of float trajectories indicates that the fluxes in this region are more likely related to eddy-driven mixing than to mean flow advection. The model shows, in addition, some sub-basin scale features that have not been reported in the observations. The Weddell western boundary current is seen as a diffuse, filamentous feature. A south-flowing jet was present over the outer shelf off the Antarctic Peninsula. Retroflection and return southward flow is seen for from the South Sandwich Trench, and there was a small inflow of Scotia Sea waters into the Powell Basin. (C) 2002 Elsevier Science Ltd. All rights reserved.</t>
  </si>
  <si>
    <t>Oregon State Univ, Coll Ocean &amp; Atmospher Sci, Corvallis, OR 97330 USA; Columbia Univ, Lamont Doherty Geol Observ, Palisades, NY 10964 USA; Earth Space Res, Seattle, WA USA; Univ Nacl Sur, Dept Phys, RA-8000 Bahia Blanca, Argentina</t>
  </si>
  <si>
    <t>Oregon State University; Columbia University; National University of the South</t>
  </si>
  <si>
    <t>Matano, RP (corresponding author), Oregon State Univ, Coll Ocean &amp; Atmospher Sci, Ocean Adm Bldg, Corvallis, OR 97330 USA.</t>
  </si>
  <si>
    <t>Gordon, Arnold/H-1049-2011</t>
  </si>
  <si>
    <t>PII S0967-0645(02)00161-3</t>
  </si>
  <si>
    <t>10.1016/S0967-0645(02)00161-3</t>
  </si>
  <si>
    <t>WOS:000178822700007</t>
  </si>
  <si>
    <t>Muench, RD; Padman, L; Howard, SL; Fahrbach, E</t>
  </si>
  <si>
    <t>Upper ocean diapycnal mixing in the northwestern Weddell Sea</t>
  </si>
  <si>
    <t>INTERNAL TIDES; ABYSSAL OCEAN; BOTTOM WATER; ICE; DISSIPATION; MODELS; DEEP; PARAMETERIZATION; CIRCULATION; GENERATION</t>
  </si>
  <si>
    <t>Vertical profiles of ocean temperature, salinity, dissolved oxygen concentration, and currents were obtained during austral winter 1997 from a region extending from the northeastern Antarctic Peninsula to the South Orkney Plateau in the northern Weddell Sea. From these data we estimate the spatial variation of shear-driven turbulent mixing and the mean diapycnal diffusivity (K-v) in the main pycnocline. We conclude that the mean upper ocean beat flux in the northwestern Weddell Sea is in the range 2-10Wm(-2). The ocean tide provides a significant fraction of the oceanic kinetic energy in the region: tidal current speeds at the shelf break can approach 50 cm s(-1) compared with mean flows of similar to5-10 cm s(-1). We show that the conversion rate of barotropic to baroclinic semidiurnal tidal energy along the South Scotia Ridge, as a pathway for energy flux to the turbulent microscale, is consistent with the data-based estimates of K,. Baroclinic tides from the ridge can penetrate into the northern Weddell Sea and may explain observed significant velocity shears in the central Powell Basin, hundreds of kilometers from significant topographic features. (C) 2002 Elsevier Science Ltd. All rights reserved.</t>
  </si>
  <si>
    <t>Earth &amp; Space Res, Seattle, WA 98102 USA; Alfred Wegener Inst Polar &amp; Marine Res, D-27515 Bremerhaven, Germany</t>
  </si>
  <si>
    <t>Muench, RD (corresponding author), Earth &amp; Space Res, 1910 Fairview E,Suite 103, Seattle, WA 98102 USA.</t>
  </si>
  <si>
    <t>Padman, Laurence/0000-0003-2010-642X; Howard, Susan/0000-0002-9183-0178</t>
  </si>
  <si>
    <t>PII S0967-0645(02)00162-5</t>
  </si>
  <si>
    <t>10.1016/S0967-0645(02)00162-5</t>
  </si>
  <si>
    <t>WOS:000178822700008</t>
  </si>
  <si>
    <t>Smith, DA; Klinck, JM</t>
  </si>
  <si>
    <t>Water properties on the west Antarctic Peninsula continental shelf: a model study of effects of surface fluxes and sea ice</t>
  </si>
  <si>
    <t>MIXED-LAYER MODEL; OCEAN; VARIABILITY; CIRCULATION; HEAT</t>
  </si>
  <si>
    <t>A vertical- and time-dependent numerical mixed-layer and sea-ice model is used to analyze processes responsible for sea-ice and surface mixed-layer water properties on the continental shelf on the west side of the Antarctic Peninsula. Atmospheric observations from Faraday and Palmer stations along with satellite sea-ice observations and shipboard water observations (four hydrographic cruises between January 1993 to February 1994) are used for forcing and verification. The focus of this study is the year 1993 during which the best observations exist. However, a 16-year simulation is completed to analyze interannual variations of ice thickness and mixed-layer depth. This model study shows that surface waters of the west Antarctic Peninsula are heated in the summer by solar radiation and cooled in the winter by sensible heat losses. Diffusive-convection is important for upward heat flux across the pycnocline. Ice melt in the spring is due to solar warming of open water, which then melts ice; the direct melting for ice by solar heating is negligible. The near closure of surface heat and salt budgets over 1 year supports the minor importance, or at least the compensation, of near-surface lateral exchanges. Intrusion of Upper Circumpolar Deep water from the Antarctic Circumpolar Current onto the subpycnocline shelf is a critical element of both salt and heat budgets. A 16-year simulation (1978-1993) reproduces most high and low ice years as observed by satellite microwave measurements, thus supporting the major contribution of thermodynamic (local) processes in creating sea-ice and mixed-layer properties. Published by Elsevier Science Ltd.</t>
  </si>
  <si>
    <t>Old Dominion Univ, Ctr Coastal Phys Oceanog, Norfolk, VA 23529 USA</t>
  </si>
  <si>
    <t>Old Dominion University</t>
  </si>
  <si>
    <t>Old Dominion Univ, Ctr Coastal Phys Oceanog, Crittenton Hall, Norfolk, VA 23529 USA.</t>
  </si>
  <si>
    <t>klinck@ccpo.odu.edu</t>
  </si>
  <si>
    <t>Klinck, John/0000-0003-4312-5201</t>
  </si>
  <si>
    <t>PII S0967-0645(02)00163-7</t>
  </si>
  <si>
    <t>10.1016/S0967-0645(02)00163-7</t>
  </si>
  <si>
    <t>WOS:000178822700009</t>
  </si>
  <si>
    <t>Bouillon, RC; Lee, PA; de Mora, SJ; Levasseur, M; Lovejoy, C</t>
  </si>
  <si>
    <t>Vernal distribution of dimethylsulphide, dimethylsulphoniopropionate, and dimethylsulphoxide in the North Water in 1998</t>
  </si>
  <si>
    <t>EASTERN BERING-SEA; MARGINAL ICE-ZONE; ANTARCTIC WATERS; SULFUR-COMPOUNDS; ROSS SEA; SULFIDE; PHYTOPLANKTON; DIMETHYLSULFONIOPROPIONATE; SEAWATER; OCEAN</t>
  </si>
  <si>
    <t>From April to June 1998, as a part of the International North Water Polynya Study (NOW), concentrations of dimethylsulphoxide (DMSO), dimethylsulphoniopropionate (DMSP), and dimethylsulphide (DMS) were determined in samples collected from the water column of the North Water, northern Baffin Bay. These compounds also were determined in ice algae and in under-ice water samples that were in close contact with the ice-algal communities. DMSO and DMSP concentrations were measured in both the dissolved phase and particulate material. The data presented here are the first reported for DMSOP in the water column of any polar sea. Water-column DMSOP and DMSPP concentrations varied from 0 to 16.9 nmol l(-1) and from 0 to 9.53 nmol l(-1), respectively. In April, phytoplankton biomass in the polynya was relatively low but increased considerably in May and June, reaching maximum values of 18.7 and 15.9 mug Chl a l(-1) respectively. The phytoplankton community was dominated by diatoms, resulting in very low DMSPP:Chl a ratios. The behaviour of DMSOd differed from that of the other dimethylated-sulphur components in that concentrations were generally high throughout the water column and for the duration of the NOW expedition (13.1-106 nmol l(-1)). With the exception of a few peak values, mean water-column concentrations of DMS (0.17 nmol l(-1) in April, 0.65 nmol l(-1) in May, 1.08 nmol l(-1) in June) and DMSPd (0.64 nmol l(-1) in April, 2.12 nmol l(-1) in May, 2.95 nmol l(-1) in June) were low. The DMS measurements were considerably lower than those predicted by existing models for the distribution of DMS at high latitudes. These results call for a reassessment of the importance of DMS emissions in polar regions, which may have been overestimated. DMSPP and DMSOP concentrations associated with the ice-algal community were 8.66-987 and 1.35-102 nmol l(-1), respectively, and were higher than water-column values due to the generally higher biomass of the ice-algal communities (4.01-2000 mug Chl a l(-1)). Monthly averages for total DMSPd + DMS at the ice-water interface were typically higher than water-column values for either DMSPd or DMS (6.79 nmol l(-1) in April, 6.68 n mol l(-1) in May and 7.30 nmol l(-1) in June). Conversely, the range of DMSOd levels at the ice-water interface was generally similar to water-column concentrations (20.0-116 nmol l(-1)). (C) 2002 Elsevier Science Ltd. All rights reserved.</t>
  </si>
  <si>
    <t>Univ Quebec, Inst Sci Mer, Rimouski, PQ G5L 3A1, Canada; Dalhousie Univ, Dept Oceanog, Halifax, NS B3H 4J1, Canada; Montana State Univ, Dept Land Resources &amp; Environm Sci, Bozeman, MT 59717 USA; IAEA, Marine Environm Lab, MC-98012 Monaco, Monaco; Minist Peches &amp; Oceans, Inst Maurice Lamontagne, Mont Joli, PQ G5H 3Z4, Canada; Univ Laval, Dept Biol, Grp Interuniv Rech Oceanog Quebec, Quebec City, PQ G1K 7P4, Canada</t>
  </si>
  <si>
    <t>University of Quebec; Dalhousie University; Montana State University System; Montana State University Bozeman; Fisheries &amp; Oceans Canada; Laval University</t>
  </si>
  <si>
    <t>Univ Quebec, Inst Sci Mer, 310 Allee des Ursulines, Rimouski, PQ G5L 3A1, Canada.</t>
  </si>
  <si>
    <t>s.j.de-mora@iaea.org</t>
  </si>
  <si>
    <t>Lovejoy, Connie/A-3756-2008</t>
  </si>
  <si>
    <t>Lovejoy, Connie/0000-0001-8027-2281</t>
  </si>
  <si>
    <t>22-23</t>
  </si>
  <si>
    <t>PII S0967-0645(02)00184-4</t>
  </si>
  <si>
    <t>10.1016/S0967-0645(02)00184-4</t>
  </si>
  <si>
    <t>612CD</t>
  </si>
  <si>
    <t>WOS:000179055800017</t>
  </si>
  <si>
    <t>Wong, CS; Waser, NAD; Whitney, FA; Johnson, WK; Page, JS</t>
  </si>
  <si>
    <t>Time-series study of the biogeochemistry of the North East subarctic Pacific:: reconciliation of the Corg/N remineralization and uptake ratios with the Redfield ratios</t>
  </si>
  <si>
    <t>DISSOLVED ORGANIC-CARBON; OCEAN STATION-P; PARTICLE FLUXES; PHYTOPLANKTON PRODUCTIVITY; BIOLOGICAL PRODUCTION; ISOPYCNAL SURFACES; INORGANIC CARBON; ANTARCTIC OCEAN; ATLANTIC-OCEAN; SEDIMENT TRAPS</t>
  </si>
  <si>
    <t>Ten years of a time-series study at Station P or OSP (50degreesN, 145degreesW) in the NE subarctic Pacific are presented in this paper. Measurements of nutrients, primary production, dissolved inorganic carbon (DIC), total alkalinity (TA), dissolved organic carbon and nitrogen (DOC and DON), and sinking organic and inorganic particulate fluxes (derived from free-drifting sediment traps positioned every 100 m in the upper 1000 m) were made. One-dimensional C and N budgets were calculated in the mixed layer and in 4 layers below 50 m down to 1000 m. The remineralization and uptake stoichiometric ratios were determined, with an emphasis on the C-org/N ratios. Three independent approaches were used: (1) nutrient vertical gradients in the 100-1000m, (2) nutrient seasonal drawdown in the 0-50m upper layer, and (3) nutrient regeneration from sinking particles. Analysis of the nutrient vertical gradients showed that the P/N/C-org/-O-2 remineralization molar ratios were 1/16.6/107.9/-170.7 and that the average C-org/N was about 6.5 in the upper 400 m. In contrast, the seasonal DIC:NO3- drawdown molar ratio varied widely from 6.9 to 12.1 and averaged 9.3. However, when corrections were made for CO2 gas exchange, dissolved organic matter (DOM) production and CaCO3 production, the true average Corg/N uptake ratio was estimated to be 6.1. This study suggested that the elevated DIC:NO3- depletion ratios were mostly due to calcification, and that the net effect of gas exchange and DOM production was small at station P. Furthermore, whereas the POC/PON flux (particulate organic C and N fluxes) ratio ranged from 8 to 12 (mole ratio) and increased with depth, there was a linear relationship between the POC and PON fluxes, with a slope of 7.2+/-0.2. This indicated that the C-org/N remineralization ratio from sinking particles was relatively low and that there was a methodological problem with free-drifting sediment traps. (C) 2002 Elsevier Science Ltd. All rights reserved.</t>
  </si>
  <si>
    <t>Fisheries Oceans Canada Inst Ocean Sci, Ctr Ocean Climate Chem, Sidney, BC V8L 4B2, Canada; Univ British Columbia, Dept Earth &amp; Ocean Sci, Vancouver, BC V6T 1Z4, Canada</t>
  </si>
  <si>
    <t>Fisheries &amp; Oceans Canada; University of British Columbia</t>
  </si>
  <si>
    <t>Fisheries Oceans Canada Inst Ocean Sci, Ctr Ocean Climate Chem, POB 6000, Sidney, BC V8L 4B2, Canada.</t>
  </si>
  <si>
    <t>wongcs@pac.dfo-mpo.gc.ca</t>
  </si>
  <si>
    <t>24-25</t>
  </si>
  <si>
    <t>PII S0967-0645(02)00211-4</t>
  </si>
  <si>
    <t>10.1016/S0967-0645(02)00211-4</t>
  </si>
  <si>
    <t>611GP</t>
  </si>
  <si>
    <t>WOS:000179008300024</t>
  </si>
  <si>
    <t>Bullock, JM; Kenward, RE; Hails, RS</t>
  </si>
  <si>
    <t>The measurement of dispersal by seabirds and seals: implications for understanding their ecology</t>
  </si>
  <si>
    <t>DISPERSAL ECOLOGY</t>
  </si>
  <si>
    <t>42nd Symposium of the British-Ecological-Society</t>
  </si>
  <si>
    <t>APR 02-05, 2001</t>
  </si>
  <si>
    <t>UNIV READING, READING, ENGLAND</t>
  </si>
  <si>
    <t>UNIV READING</t>
  </si>
  <si>
    <t>ANTARCTIC FUR SEALS; ALBATROSSES DIOMEDEA-MELANOPHRIS; COLONIALLY NESTING SEABIRD; BLACK-BROWED ALBATROSSES; NORTHERN ELEPHANT SEALS; GUILLEMOT URIA AALGE; SITE FIDELITY; REPRODUCTIVE SUCCESS; FORAGING STRATEGIES; SOUTH-GEORGIA</t>
  </si>
  <si>
    <t>Univ St Andrews, Gatty Marine Lab, NERC, Sea Mammal Res Unit, St Andrews KY16 8LB, Fife, Scotland</t>
  </si>
  <si>
    <t>University of St Andrews; UK Research &amp; Innovation (UKRI); Natural Environment Research Council (NERC)</t>
  </si>
  <si>
    <t>Boyd, IL (corresponding author), Univ St Andrews, Gatty Marine Lab, NERC, Sea Mammal Res Unit, St Andrews KY16 8LB, Fife, Scotland.</t>
  </si>
  <si>
    <t>0-632-05876-5</t>
  </si>
  <si>
    <t>Plant Sciences; Ecology; Zoology</t>
  </si>
  <si>
    <t>Plant Sciences; Environmental Sciences &amp; Ecology; Zoology</t>
  </si>
  <si>
    <t>BV41R</t>
  </si>
  <si>
    <t>WOS:000178887100004</t>
  </si>
  <si>
    <t>Genge, MJ; Grady, MM</t>
  </si>
  <si>
    <t>Green, SF; Williams, IP; McDonnell, JAM; McBride, N</t>
  </si>
  <si>
    <t>Thermal gradients in micrometeoroids during atmospheric entry</t>
  </si>
  <si>
    <t>DUST IN THE SOLAR SYSTEM AND OTHER PLANETARY SYSTEMS</t>
  </si>
  <si>
    <t>COSPAR COLLOQUIA SERIES</t>
  </si>
  <si>
    <t>IAU Colloquium 181 on Dust in the Solar System and Other Planetary Systems</t>
  </si>
  <si>
    <t>APR 04-10, 2000</t>
  </si>
  <si>
    <t>UNIV KENT, CANTERBURY, ENGLAND</t>
  </si>
  <si>
    <t>UNIV KENT</t>
  </si>
  <si>
    <t>Melted rims found on micrometeorites recovered from Antarctic ice indicate that micrometeoroids as small as 50 pm in diameter can maintain temperature differences of at least 600 K between their surfaces and cores. We present the results of finite element simulations of the thermal evolution of micrometeoroids during entry heating that indicate that large thermal gradients cannot arise simply as a result of the non-steady state heating of particles. The generation of thermal gradients resulting in melted rims may occur in fine-grained micrometeorites due to energy losses at the melt-core boundary due to the endothermic decomposition of volatile-bearing phases. However, the occurrence of melted rims on many coarse-grained particles that lack such low-temperature phases suggests this is not the primary cause of the temperature differences. Large mass losses due to vaporisation and energy losses due to fusion may therefore be involved in the generation of melted rims. The presence of thermal gradients in micrometeoroids during atmospheric entry increases the likelihood that low-temperature primary phases such as abiotic carbonaceous compounds will survive atmospheric entry heating.</t>
  </si>
  <si>
    <t>Nat Hist Museum, Dept Mineral, London SW7 5BD, England</t>
  </si>
  <si>
    <t>Natural History Museum London</t>
  </si>
  <si>
    <t>Genge, MJ (corresponding author), Nat Hist Museum, Dept Mineral, Cromwell Rd, London SW7 5BD, England.</t>
  </si>
  <si>
    <t>Grady, Monica/0000-0002-4055-533X</t>
  </si>
  <si>
    <t>0-08-044194-7</t>
  </si>
  <si>
    <t>COSPAR COLL</t>
  </si>
  <si>
    <t>BW07W</t>
  </si>
  <si>
    <t>WOS:000180813900002</t>
  </si>
  <si>
    <t>Noguchi, T; Yano, H; Terada, K; Imae, N; Yada, T; Nakamura, T; Kojima, H</t>
  </si>
  <si>
    <t>Antarctic micrometeorites collected by the Japanese Antarctic Research Expedition teams during 1996-1999</t>
  </si>
  <si>
    <t>PARTICLES</t>
  </si>
  <si>
    <t>The Japanese Antarctic Research Expedition (JARS) teams have started collection of unmelted and melted micrometeorites (MMs) in Antarctica since 1996. Some results of the consortium studies are: (1) relatively common occurrence of magnesiowustite (MW) in unmelted MMs, (2) coexistence of MW with low-Ca pyroxene in moderately heated MMs, and (3) evidence that MMs were formed as small particles, rather than fragments of larger bodies, within &lt; a few Ma.</t>
  </si>
  <si>
    <t>Ibaraki Univ, Dept Biol &amp; Mat Sci, 2-1-1 Bunkyo, Mito, Ibaraki 3108512, Japan; Inst Space &amp; Astronaut Sci, Planetary Sci Div, 3-1-1 Yoshinodai, Sagamihara, Kanagawa 2298510, Japan; Hiroshima Univ, Dept Earth &amp; Planetary Syst Sci, Hiroshima 7398526, Japan; Natl Inst Polar Res, 1-9-10 Kaga, Tokyo 1738515, Japan; Kyushu Univ, Dept Earth &amp; Planetary Sci, 33 Hakozaki, Fukuoka 8128581, Japan</t>
  </si>
  <si>
    <t>Ibaraki University; Japan Aerospace Exploration Agency (JAXA); Institute of Space &amp; Astronautical Science (ISAS); Hiroshima University; Research Organization of Information &amp; Systems (ROIS); National Institute of Polar Research (NIPR) - Japan; Kyushu University</t>
  </si>
  <si>
    <t>Ibaraki Univ, Dept Biol &amp; Mat Sci, 2-1-1 Bunkyo, Mito, Ibaraki 3108512, Japan.</t>
  </si>
  <si>
    <t>Noguchi, Takaaki/IWV-1123-2023; Yano, Hajime/M-5023-2013</t>
  </si>
  <si>
    <t>Noguchi, Takaaki/0000-0001-7211-2595; Yano, Hajime/0000-0002-4125-0802; Terada, Kentaro/0000-0003-0120-1229</t>
  </si>
  <si>
    <t>WOS:000180813900057</t>
  </si>
  <si>
    <t>Troshichev, OA; Antonova, EE; Kamide, Y</t>
  </si>
  <si>
    <t>Russell, CT; Savin, S; Kruglanski, M</t>
  </si>
  <si>
    <t>Inconsistency of magnetic field and plasma velocity variations in the distant plasma sheet: Violation of the frozen-in criterion?</t>
  </si>
  <si>
    <t>DYNAMIC PROCESSES IN THE CRITICAL MAGNETOSPHERIC REGIONS AND RADIATION BELT MODELS, PROCEEDINGS</t>
  </si>
  <si>
    <t>ADVANCES IN SPACE RESEARCH</t>
  </si>
  <si>
    <t>D3 5/PSRBI Symposium of the COSPAR Scientific Commission D held at the 33rd COSPAR Assembly</t>
  </si>
  <si>
    <t>QUIET TIMES; MAGNETOTAIL; TURBULENCE; CONVECTION; TAIL; R(E)</t>
  </si>
  <si>
    <t>Measurements of the magnetic field and low energy plasma by the GEOTAIL spacecraft have been used to study the relationship between variations of the plasma velocity and of the magnetic field in the distant (100-200 R-E) and middle (40-80 R-E) tail. The analysis was carried out separately for the tail lobes and the plasma sheet. It is shown that the absolute values of the magnetic field and plasma velocity, as well as their corresponding components (V-X and B-X, V-Y and B-Y, V-Z and B-Z), are linearly connected in the tail lobes. In the plasma sheet, however, the plasma velocity and the magnetic field do not seem to be related to one another. The distant plasma sheet seems to be in a regime of turbulence. The diffusion coefficients estimated from our data set of the velocity parameters in the plasma sheet are in good agreement with the theoretical predictions of Antonova and Ovchinnikov (1996, 1999). (C) 2002 COSPAR. Published by Elsevier Science Ltd. All rights reserved.</t>
  </si>
  <si>
    <t>Arctic &amp; Antarctic Res Inst, St Petersburg 199226, Russia; Scobeltsyn Inst Nucl Phys, Moscow, Russia; Solar Terr Environm Lab, Toyokawa, Japan</t>
  </si>
  <si>
    <t>Antonova, Elizaveta E/A-2716-2012</t>
  </si>
  <si>
    <t>Antonova, Elizaveta E/0000-0001-6980-3993</t>
  </si>
  <si>
    <t>ADV SPACE RES</t>
  </si>
  <si>
    <t>PII S0273-1177(02)00755-X</t>
  </si>
  <si>
    <t>10.1016/S0273-1177(02)80382-9</t>
  </si>
  <si>
    <t>BW04V</t>
  </si>
  <si>
    <t>WOS:000180725900006</t>
  </si>
  <si>
    <t>Nieke, J; Asanuma, I; Hori, M; Wakabayashi, M; Aoki, T</t>
  </si>
  <si>
    <t>Barnes, WL</t>
  </si>
  <si>
    <t>Preparation of GLI-MERIS-AATSR inter-calibration using selected snow and ocean ground sites</t>
  </si>
  <si>
    <t>EARTH OBSERVING SYSTEMS VII</t>
  </si>
  <si>
    <t>PROCEEDINGS OF THE SOCIETY OF PHOTO-OPTICAL INSTRUMENTATION ENGINEERS (SPIE)</t>
  </si>
  <si>
    <t>Conference on Earth Observing Systems VII</t>
  </si>
  <si>
    <t>JUL 07-10, 2002</t>
  </si>
  <si>
    <t>SEATTLE, WA</t>
  </si>
  <si>
    <t>REFLECTANCE; SENSORS</t>
  </si>
  <si>
    <t>To deliver high quality data sets to the user community, space sensors have to be calibrated with high accuracy. Besides pre-launch and on-board calibration, there exists the possibility to inter-compare the sensor data using well-characterized ground sites. To cover different radiometric signal levels, ground sites with high and low spectral reflectance (and surface temperatures) were chosen to allow not only an absolute signal comparison, but also an estimation of the linearity of the sensor signal. This is why one ground site is located at in the dark ocean (East china sea), and the other is a fresh snow site in the polar region (alternating: Arctic and Antarctic cal sites). These polar sites have the advantage to compare sensors from different sun-synchronous orbit satellites platforms on the same day, i.e. semi-simultaneous measurements can be performed. The dark ocean site will be located near Ishigaki Island (Japan) at 24degrees37'N and 123degrees27'E using optical buoy data and frequent in-situ measurements. The snow target sites are in the Antarctic and Arctic, where measurements will be carried out in the polar autumn and spring near Syowa Station (East Ongul Island, Lutzow-Holm Bay, East Antarctica; 69degreesS and 39degrees35'E) and near Barrow (Alaska, USA; 71degrees16'N, 156degrees50'W). In the scope of the project the ground sites will be characterized (depending on logistical and weather conditions), to allow an estimation of the TOA signal, which will be calculated using either developed codes or generated products. After systematic (space sensor and ground-truth) data acquisition and analysis, a comparison between these space sensors will be provided to assess long-term variations and trends in the calibration. This paper describes the ongoing preparation (e.g., data selection, ground truth measurements and algorithm development) for a systematic inter-sensor comparison of the GLI and MERIS/AATSR sensors, which are onboard of ADEOS-2 and ENVISAT satellites.</t>
  </si>
  <si>
    <t>NASDA, EORC, Chuo Ku, Tokyo 1046023, Japan</t>
  </si>
  <si>
    <t>Nieke, J (corresponding author), NASDA, EORC, Chuo Ku, Triton Sq,X-23,1-8-10,Harumi, Tokyo 1046023, Japan.</t>
  </si>
  <si>
    <t>, Masahiro/0000-0002-9729-7909</t>
  </si>
  <si>
    <t>SPIE-INT SOC OPTICAL ENGINEERING</t>
  </si>
  <si>
    <t>BELLINGHAM</t>
  </si>
  <si>
    <t>1000 20TH ST, PO BOX 10, BELLINGHAM, WA 98227-0010 USA</t>
  </si>
  <si>
    <t>0277-786X</t>
  </si>
  <si>
    <t>0-8194-4582-7</t>
  </si>
  <si>
    <t>P SOC PHOTO-OPT INS</t>
  </si>
  <si>
    <t>10.1117/12.456696</t>
  </si>
  <si>
    <t>Engineering, Electrical &amp; Electronic; Remote Sensing; Optics</t>
  </si>
  <si>
    <t>Engineering; Remote Sensing; Optics</t>
  </si>
  <si>
    <t>BV51H</t>
  </si>
  <si>
    <t>WOS:000179201500025</t>
  </si>
  <si>
    <t>Velichko, VA; Boroyev, RN; Gelberg, MG; Baishev, DG; Olson, JV; Morris, RJ; Yumoto, K</t>
  </si>
  <si>
    <t>North-south asymmetry of the substorm intensity depending on the IMF BY-component</t>
  </si>
  <si>
    <t>EARTH PLANETS AND SPACE</t>
  </si>
  <si>
    <t>INTERPLANETARY MAGNETIC-FIELD; ELECTRIC-FIELD; ALIGNED CURRENTS; DIRECTION</t>
  </si>
  <si>
    <t>The dependence of maximum variations of H-component negative bays at magnetic conjugate stations on a sign of the IMF By-component during the substorms of small and moderate intensity with \DeltaH\(max) &lt; 750 nT developed at B-Z &lt; 0 and \B-Z/B-Y\ &lt; 1 has been studied. By data from Kotzebue (Phi = 64.5degrees; Lambda = 249.7degrees) and Macquarie Isl. (Phi = -64.5degrees; Lambda = 247.8degrees) observatories in the eastern hemisphere and Leirvogur (Phi = 65.3degrees; Lambda = 68.2degrees) and Syowa (Phi = -66.1degrees; Lambda = 71.0degrees) stations in the western hemisphere it is shown that at B-Y &lt; 0 the absolute values of negative bays \DeltaH\(max) are greater in the southern hemisphere and at B-Y &gt; 0, on the contrary, in the northern hemisphere.</t>
  </si>
  <si>
    <t>Inst Cosmophys Res &amp; Aeron, Yakutsk 677891, Russia; Yakutsk State Engn &amp; Tech Inst, Yakutsk 677009, Russia; Kyushu Univ 33, Dept Earth &amp; Planetary Sci, Fukuoka 8128581, Japan; Univ Alaska, Inst Geophys, Fairbanks, AK 99775 USA; Australian Antarctic Div, Kingston, Tas 7050, Australia</t>
  </si>
  <si>
    <t>Russian Academy of Sciences; Shafer Institute of Cosmophysical Research &amp; Aeronomy, Siberian Branch of the Russian Academy of Sciences; Kyushu University; University of Alaska System; University of Alaska Fairbanks; Australian Antarctic Division</t>
  </si>
  <si>
    <t>Velichko, VA (corresponding author), Inst Cosmophys Res &amp; Aeron, Yakutsk 677891, Russia.</t>
  </si>
  <si>
    <t>Baishev, Dmitry G./D-3018-2013</t>
  </si>
  <si>
    <t>Baishev, Dmitry G./0000-0002-0229-5792</t>
  </si>
  <si>
    <t>1343-8832</t>
  </si>
  <si>
    <t>EARTH PLANETS SPACE</t>
  </si>
  <si>
    <t>Earth Planets Space</t>
  </si>
  <si>
    <t>10.1186/BF03352443</t>
  </si>
  <si>
    <t>620RM</t>
  </si>
  <si>
    <t>gold</t>
  </si>
  <si>
    <t>WOS:000179546400003</t>
  </si>
  <si>
    <t>Breed, AM; Dyson, PL; Morris, RJ</t>
  </si>
  <si>
    <t>Fellous, JL; LeMarshall, JF; Choudhury, BJ; Menenti, M; Paxton, LJ; Gupta, SP</t>
  </si>
  <si>
    <t>Structure and dynamics of polar patches above Casey, Antarctica.</t>
  </si>
  <si>
    <t>EARTH'S ATMOSPHERE, OCEAN AND SURFACE STUDIES</t>
  </si>
  <si>
    <t>A0 1, A0 4-A0 5, A3 1, C1 1 and C2 6 Symposia of the COSPAR Scientific Commissions A and C held at the 33rd COSPAR Scientific Assembly</t>
  </si>
  <si>
    <t>CAP F-REGION; VELOCITY</t>
  </si>
  <si>
    <t>A Lowell Digital Ionosonde (DPS-4) has been used at the Australian Antarctic polar cap station Casey (-80.6degrees CGM latitude) in a study of ionospheric polar cap patches. The instrument ran a series of campaigns consisting of 3-minute cycles of ionograms, and drift velocity measurements during 1997-1999. Patches identified from group range and critical frequencies on the ionogram records were compared with drift measurements and other geophysical data sets. Correlations were observed with Total Electron Content derived from GPS satellite observations with a receiver also located at Casey. Comparisons with plasma drift velocities, (derived from DPS drift measurements), indicate that patches are often associated with,apparent fluctuations in horizontal drift velocity. Peaks in the horizontal velocity appear to correlate with the patch edges. Possible explanations of these observations are discussed. This paper considers case studies of patch observations in April 1998. (C) 2002 COSPAR. Published by Elsevier Science Ltd. All rights reserved.</t>
  </si>
  <si>
    <t>Australian Antarctic Div, Kingston, Tas 7050, Australia; La Trobe Univ, Dept Phys, Bundoora, Vic 3083, Australia</t>
  </si>
  <si>
    <t>Australian Antarctic Division; La Trobe University</t>
  </si>
  <si>
    <t>Breed, AM (corresponding author), Australian Antarctic Div, Kingston, Tas 7050, Australia.</t>
  </si>
  <si>
    <t>PII S0273-1177(02)00270-3</t>
  </si>
  <si>
    <t>10.1016/S0273-1177(02)80338-6</t>
  </si>
  <si>
    <t>BW01W</t>
  </si>
  <si>
    <t>WOS:000180656600030</t>
  </si>
  <si>
    <t>Kashkin, VB; Lankin, JP; Sakash, IY</t>
  </si>
  <si>
    <t>Zherebtsov, GA; Matvienko, GG; Banakh, VA; Koshelev, VV</t>
  </si>
  <si>
    <t>Adaptive forecasting dynamics of the ozone layer</t>
  </si>
  <si>
    <t>EIGHTH INTERNATIONAL SYMPOSIUM ON ATMOSPHERIC AND OCEAN OPTICS: ATMOSPHERIC PHYSICS</t>
  </si>
  <si>
    <t>8th International Symposium on Atmospheric and Ocean Optics - Atmospheric Physics</t>
  </si>
  <si>
    <t>JUN 25-29, 2001</t>
  </si>
  <si>
    <t>IRKUTSK, RUSSIA</t>
  </si>
  <si>
    <t>ozone; ozone screen; ozone hole; atmosphere; acclimatization; system; neuroinformatics</t>
  </si>
  <si>
    <t>The problem of researching the ozone layer of Earth's atmosphere is uncovered in the article. The data on preliminary research and prospects for exploiting the system - adaptive models based on achievements of neuroinformatics for predicting contents of ozone in a stratosphere and troposphere are described. The results of last satellite researches of an Antarctic ozone hole are represented and interpreted.</t>
  </si>
  <si>
    <t>Krasnoyarsk State Technol Univ, Krasnoyarsk 660074, Russia</t>
  </si>
  <si>
    <t>Reshetnev Siberian State University of Science &amp; Technology</t>
  </si>
  <si>
    <t>Kashkin, VB (corresponding author), Krasnoyarsk State Technol Univ, 26 Kirenskogo St, Krasnoyarsk 660074, Russia.</t>
  </si>
  <si>
    <t>0-8194-4433-2</t>
  </si>
  <si>
    <t>10.1117/12.458503</t>
  </si>
  <si>
    <t>Meteorology &amp; Atmospheric Sciences; Optics; Spectroscopy</t>
  </si>
  <si>
    <t>BU44L</t>
  </si>
  <si>
    <t>WOS:000176001100082</t>
  </si>
  <si>
    <t>Kumar, KS; Kannan, K; Corsolini, S; Evans, T; Giesy, JP; Nakanishi, J; Masunaga, S</t>
  </si>
  <si>
    <t>Polychlorinated dibenzo-p-dioxins, dibenzofurans and polychlorinated biphenyls in polar bear, penguin and south polar skua</t>
  </si>
  <si>
    <t>ENVIRONMENTAL POLLUTION</t>
  </si>
  <si>
    <t>Antarctic; Arctic; PCBs; PCDD/DF; polar bear; penguin; south polar skua</t>
  </si>
  <si>
    <t>ISOMER-SPECIFIC ANALYSIS; MARINE MAMMALS; PCBS; CONGENER; SEABIRDS; SVALBARD; SAMPLES; PCDDS; SEALS; PCDFS</t>
  </si>
  <si>
    <t>Concentrations of 2378-substituted polychlorinated dibenzo-p-dioxins (PCDDs), dibenzofurans (DFs) and non- and mono-ortho-substituted polychlorinated biphenyls (dioxin-like PCBs) were measured in livers of polar bears from the Alaskan Arctic and in eggs of Adelie penguin and south polar skua and weddell seal liver, fish and krill from Antarctica. This is one of the first reports to document the concentrations of PCDDs/DFs in polar bear livers from Alaska, and in penguin and skua eggs from Antarctica. Concentrations of total PCDD/DFs in livers of polar bears ranged from 8 to 66 (mean: 26) pg/g, on a lipid weight basis. Concentrations of total PCDD/DFs in Antarctic samples were in the increasing order on a lipid weight basis; weddell seal liver (8.9 pg/g) &lt; fish (11-17 pg/g) &lt; krill (27 pg/g) &lt; penguin eggs (mean: 23 pg/g) &lt; south polar skua eggs (mean: 181 pg/g). Concentrations of dioxin-like PCBs (including two di-ortho congeners) in polar bear livers were in the range of 1080-3930 ng/g, lipid wt. Concentrations of dioxin-like PCBs in Antarctic samples were in the following order on a lipid weight basis; south polar skua eggs (mean: 1440 ng/g) &gt; &gt; penguin eggs (30 ng/g) &gt; seal liver (57 ng/g) &gt;fishes (6.2 ng/g) &gt; krill (0.9 ng/g). Concentrations of 2378-tetrachlorodibenzo-p-dioxin equivalents (TEQs) calculated based on the WHO TEFs were higher in the eggs of polar skua (mean: 344; range: 220-650 pg/g, lipid wt.) from Antarctica than in polar bear livers from Alaska (mean: 120; range: 69-192 pg/g). In general, concentrations of PCDFs were greater than those of PCDDs in polar organisms. 23478-PeCDF is one of the dominant congener found in several samples. Concentrations of TEQs in polar bear livers and skua eggs were close to those that may cause adverse health effects. Dioxin-like PCBs, particularly, non-ortho coplanar PCBs were the major contributors to TEQ concentrations in penguin and skua eggs whereas mono-ortho PCBs accounted for a major portion of TEQs in polar bear livers. (C) 2002 Elsevier Science Ltd. All rights reserved.</t>
  </si>
  <si>
    <t>Yokohama Natl Univ, Grad Sch Environm &amp; Informat Sci, Hodogaya Ku, Yokohama, Kanagawa 2408501, Japan; Michigan State Univ, Natl Food Safety &amp; Toxicol Ctr, E Lansing, MI 48824 USA; Univ Siena, Dipartimento Sci Ambientali, I-53100 Siena, Italy; US Fish &amp; Wildlife Serv, Anchorage, AK USA</t>
  </si>
  <si>
    <t>Yokohama National University; Michigan State University; University of Siena; United States Department of the Interior; US Fish &amp; Wildlife Service</t>
  </si>
  <si>
    <t>Yokohama Natl Univ, Grad Sch Environm &amp; Informat Sci, Hodogaya Ku, 79-7 Tokiwadai, Yokohama, Kanagawa 2408501, Japan.</t>
  </si>
  <si>
    <t>senthil@ynu.ac.jp</t>
  </si>
  <si>
    <t>V, Santhosh kumar/JXL-8110-2024; Corsolini, Simonetta/B-9460-2012; Kumar, Saran/GWQ-9968-2022; Kumar, Santosh/ABC-1303-2020; Kumar, Santosh/JVO-5600-2024; KUMAR, SANDEEP/GZA-7182-2022; Masunaga, Shigeki/F-1315-2011; Kumar, Sandeep/IUQ-2320-2023; Kumar, Senthil T/JCO-2901-2023</t>
  </si>
  <si>
    <t>Corsolini, Simonetta/0000-0002-9772-2362; Kumar, Santosh/0000-0003-2121-6428; KUMAR, SANDEEP/0000-0001-7142-0852; Masunaga, Shigeki/0000-0003-0608-2337; Kumar, Sandeep/0000-0002-0848-632X; Giesy, John/0000-0003-1931-9962</t>
  </si>
  <si>
    <t>0269-7491</t>
  </si>
  <si>
    <t>1873-6424</t>
  </si>
  <si>
    <t>ENVIRON POLLUT</t>
  </si>
  <si>
    <t>Environ. Pollut.</t>
  </si>
  <si>
    <t>PII S0269-7491(01)00332-3</t>
  </si>
  <si>
    <t>10.1016/S0269-7491(01)00332-3</t>
  </si>
  <si>
    <t>559JW</t>
  </si>
  <si>
    <t>WOS:000176023900002</t>
  </si>
  <si>
    <t>Varotsos, C</t>
  </si>
  <si>
    <t>The southern hemisphere ozone hole split in 2002</t>
  </si>
  <si>
    <t>ENVIRONMENTAL SCIENCE AND POLLUTION RESEARCH</t>
  </si>
  <si>
    <t>MATCH OBSERVATIONS; DEPLETION; RATES</t>
  </si>
  <si>
    <t>Among the most important aspects of the atmospheric pollution problem are the anthropogenic impacts on the stratospheric ozone layer, the related trends of the total ozone content drop and the solar ultraviolet radiation enhancement at the Earth's surface level. During September 2002, the ozone hole over the Antarctic was much smaller than in the previous six years. It has split into two separate holes, due to the appearance of sudden stratospheric warming that has never been observed before in the southern hemisphere. The analysis of this unprecedented event is attempted, regarding both the meteorological and photochemical aspects, in terms of the unusual thermal field patterns and the induced polar vortex disturbances.</t>
  </si>
  <si>
    <t>Univ Athens, Dept Appl Phys, GR-15784 Athens, Greece</t>
  </si>
  <si>
    <t>National &amp; Kapodistrian University of Athens</t>
  </si>
  <si>
    <t>Varotsos, C (corresponding author), Univ Athens, Dept Appl Phys, Paneistimiopolis, GR-15784 Athens, Greece.</t>
  </si>
  <si>
    <t>Varotsos, Costas/H-6257-2013</t>
  </si>
  <si>
    <t>Varotsos, Costas/0000-0001-7215-3610</t>
  </si>
  <si>
    <t>ECOMED PUBLISHERS</t>
  </si>
  <si>
    <t>LANDSBERG</t>
  </si>
  <si>
    <t>RUDOLF-DIESEL-STR 3, D-86899 LANDSBERG, GERMANY</t>
  </si>
  <si>
    <t>0944-1344</t>
  </si>
  <si>
    <t>ENVIRON SCI POLLUT R</t>
  </si>
  <si>
    <t>Environ. Sci. Pollut. Res.</t>
  </si>
  <si>
    <t>10.1007/BF02987584</t>
  </si>
  <si>
    <t>618UJ</t>
  </si>
  <si>
    <t>WOS:000179435400003</t>
  </si>
  <si>
    <t>McConnell, JR</t>
  </si>
  <si>
    <t>Continuous ice-core chemical analyses using inductively Coupled Plasma Mass Spectrometry</t>
  </si>
  <si>
    <t>ANTARCTIC SNOW; NORTHERN-HEMISPHERE; HEAVY-METALS; GREENLAND; ACCUMULATION; POLLUTION; RECORD; SUMMIT</t>
  </si>
  <si>
    <t>Impurities trapped in ice sheets and glaciers have the potential to provide detailed, high temporal resolution proxy information on paleo-environments, atmospheric circulation, and environmental pollution through the use of chemical, isotopic, and elemental tracers. We present a novel approach to ice-core chemical analyses in which an ice-core melter is coupled directly with both an inductively Coupled plasma mass spectrometer and a traditional continuous flow analysis system, We demonstrate this new approach using replicated measurements of ice-core samples from Summit, Greenland. With this method, it is possible to readily obtain continuous, exactly coregistered concentration records for a large number of elements and chemical species at ppb and ppt levels and at unprecedented depth resolution. Such very-high depth resolution, multiparameter measurements will significantly expand the use of ice-core records for environmental proxies.</t>
  </si>
  <si>
    <t>Univ &amp; Community Coll Syst Nevada, Desert Res Inst, Reno, NV 89512 USA</t>
  </si>
  <si>
    <t>Nevada System of Higher Education (NSHE); Desert Research Institute NSHE</t>
  </si>
  <si>
    <t>McConnell, JR (corresponding author), Univ &amp; Community Coll Syst Nevada, Desert Res Inst, Reno, NV 89512 USA.</t>
  </si>
  <si>
    <t>Taylor, Kendrick/A-3469-2016</t>
  </si>
  <si>
    <t>Taylor, Kendrick/0000-0001-8535-1261</t>
  </si>
  <si>
    <t>JAN 1</t>
  </si>
  <si>
    <t>10.1021/es011088z</t>
  </si>
  <si>
    <t>509RC</t>
  </si>
  <si>
    <t>WOS:000173162600018</t>
  </si>
  <si>
    <t>Block, W</t>
  </si>
  <si>
    <t>Interactions of water, ice nucleators and desiccation in invertebrate cold survival</t>
  </si>
  <si>
    <t>EUROPEAN JOURNAL OF ENTOMOLOGY</t>
  </si>
  <si>
    <t>4th European Workshop on Invertebrate Ecophysiology</t>
  </si>
  <si>
    <t>SEP 09-14, 2001</t>
  </si>
  <si>
    <t>ST PETERSBURG STATE UNIV, ST PETERSBURG, RUSSIA</t>
  </si>
  <si>
    <t>ST PETERSBURG STATE UNIV</t>
  </si>
  <si>
    <t>cold; survival; water; ice nucleators; desiccation; Cryptopygus antarcticus; Heleomyza borealis; Onychiurus arcticus; Ribes ciliatum; vitrification; cryopreservation</t>
  </si>
  <si>
    <t>DEHYDRATION; COLLEMBOLA; TOLERANCE; HARDINESS</t>
  </si>
  <si>
    <t>Four case studies are used to examine the relationships of water, ice nucleators and desiccation in the cold survival of invertebrates and the viability of frozen plant material: the freeze intolerant Antarctic springtail Cryptopygus antarcticus (Willem) (Collembola, Isotomidae), the freeze tolerant larvae of the fly Heleomyza borealis Boh. (Diptera: Heleomyzidae), the freeze intolerant Arctic springtail Onychiurus arcticus (Tullberg) (Collembola, Onychiuridae) and meristems of the currant Ribes ciliatum Humb. &amp; Bonpl.(Grossulariaceae) from Mexico. Prevention of ice nucleation, lowering the water content by removal of osmotically active (freezable) water are critical features of the different cold survival strategies of the three species of invertebrates. In C. antarcticus, which desiccates rapidly by losing water via the cuticle to the atmosphere, the number of ice nucleators (and their activity) increases with lowered ambient temperature. During prolonged cold exposure ice nucleators are masked, but re-activated rapidly by water uptake in this species. Larval H. borealis do not readily desiccate and conserve their body water, 20-25% of it being bound (osmotically inactive). Experiments showed that a high proportion (c. 80%) of slowly cooled larvae survived exposure to -60degreesC. By comparison O. arcticus is able to sustain up to 40% loss of its body water and desiccation lowers its supercooling point to promote over winter survival. Dehydration leading to partial vitrification of currant (R. ciliatum) meristems improves their viability after cryopreservation in liquid nitrogen. From this comparison of four biological systems, it is concluded that the role of water and its activity at sub-zero temperatures are fundamental to the survival of freezing conditions by all the species studied. Although similar features exist in the four systems, no common basic mechanism was found.</t>
  </si>
  <si>
    <t>British Antarctic Survey, NERC, Div Biol Sci, Cambridge CB3 0ET, England</t>
  </si>
  <si>
    <t>British Antarctic Survey, NERC, Div Biol Sci, High Cross,Madingley Rd, Cambridge CB3 0ET, England.</t>
  </si>
  <si>
    <t>wcb@bas.ac.uk</t>
  </si>
  <si>
    <t>CZECH ACAD SCI, INST ENTOMOLOGY</t>
  </si>
  <si>
    <t>CESKE BUDEJOVICE</t>
  </si>
  <si>
    <t>BRANISOVSKA 31, CESKE BUDEJOVICE 370 05, CZECH REPUBLIC</t>
  </si>
  <si>
    <t>1802-8829</t>
  </si>
  <si>
    <t>EUR J ENTOMOL</t>
  </si>
  <si>
    <t>Eur. J. Entomol.</t>
  </si>
  <si>
    <t>10.14411/eje.2002.035</t>
  </si>
  <si>
    <t>579JE</t>
  </si>
  <si>
    <t>Green Submitted, Green Accepted, gold</t>
  </si>
  <si>
    <t>WOS:000177174200017</t>
  </si>
  <si>
    <t>Marincea, S; Dumitras, D; Gibert, R</t>
  </si>
  <si>
    <t>Tinsleyite in the dry Cioclovina Cave (Sureanu Mountains, Romania): the second occurrence</t>
  </si>
  <si>
    <t>EUROPEAN JOURNAL OF MINERALOGY</t>
  </si>
  <si>
    <t>tinsleyite; cave mineral; crystal chemistry; physical properties; crystallographic parameters; dry Cioclovina Cave; Romania</t>
  </si>
  <si>
    <t>BRITISH ANTARCTIC TERRITORY; ELEPHANT-ISLAND; ALUMINUM ANALOG; LEUCOPHOSPHITE; SPHENISCIDITE; PEGMATITE; AMMONIUM</t>
  </si>
  <si>
    <t>This paper documents the occurrence of tinsleyite in the dry Cioclovina Cave, Sureanu Mountains, Romania. This is the first mention of tinsleyite as a cave mineral and the second find of this mineral species in the world. The mineral occurs in small quantities, as a rare authigenic, early diagenetic mineral, in the bat guano deposits in this cave. Low (alpha) quartz is the only closely associated mineral. This assemblage corresponds to a possible reaction in the natural guano-clay system upon decomposition of illite. Chemical analyses show variable leucophosphite contents (up to 31.68 mol.%). The unit-cell parameters calculated for an iron-poor sample are a=9.638(5) Angstrom, b=9.522(4) Angstrom, c=9.540(4) Angstrom and beta=103.10(3)degrees, whereas those determined for an iron-rich sample are a=9.639(6) Angstrom, b=9.538(8) Angstrom, c=9.553(7) Angstrom and beta=103.04(4)degrees. Thermal analyses show that water is lost in three steps and that the loss of molecular water is complete before 250degreesC. The fully dehydrated material is completely X-ray amorphous. Ammonium is expelled at about 490degreesC. The infrared spectrum of tinsleyite affords reasonable evidence for the presence of PO4, NH4 and OH groups, together with H2O molecules. The punctual symmetry of the PO4 groups is C-s.</t>
  </si>
  <si>
    <t>Geol Inst Romania, Dept Mineral, RO-78344 Bucharest, Romania; Ecole Natl Super Mines, Ctr SPIN, Dept Physicochim Mat Multicomposants, F-42023 St Etienne Du Rouvray 2, France</t>
  </si>
  <si>
    <t>Geological Institute of Romania</t>
  </si>
  <si>
    <t>Geol Inst Romania, Dept Mineral, 1 Caransebes Str, RO-78344 Bucharest, Romania.</t>
  </si>
  <si>
    <t>marincea@igr.ro</t>
  </si>
  <si>
    <t>Stefan, Marincea/ACR-1261-2022; Dumitras, Delia-Georgeta/B-9382-2012; Marincea, Stefan/F-7934-2010</t>
  </si>
  <si>
    <t>Stefan, Marincea/0009-0007-4351-0464; Dumitras, Delia-Georgeta/0000-0001-9447-4183; Marincea, Stefan/0000-0003-2082-6398</t>
  </si>
  <si>
    <t>0935-1221</t>
  </si>
  <si>
    <t>1617-4011</t>
  </si>
  <si>
    <t>EUR J MINERAL</t>
  </si>
  <si>
    <t>Eur. J. Mineral.</t>
  </si>
  <si>
    <t>10.1127/0935-1221/02/0014-0157</t>
  </si>
  <si>
    <t>Mineralogy</t>
  </si>
  <si>
    <t>517TT</t>
  </si>
  <si>
    <t>WOS:000173626600017</t>
  </si>
  <si>
    <t>Stark, AA</t>
  </si>
  <si>
    <t>DePetris, M; Gervasi, M</t>
  </si>
  <si>
    <t>Millimeter and submillimeter observations from the South Pole</t>
  </si>
  <si>
    <t>EXPERIMENTAL COSMOLOGY AT MILLIMETRE WAVELENGTHS</t>
  </si>
  <si>
    <t>AIP Conference Proceedings</t>
  </si>
  <si>
    <t>Breuil-Cervinia Workshop on Experimental Cosmology at Millimetre Wavelengths</t>
  </si>
  <si>
    <t>JUL 09-13, 2001</t>
  </si>
  <si>
    <t>BRUIL-CERVINIA, ITALY</t>
  </si>
  <si>
    <t>MICROWAVE BACKGROUND ANISOTROPY; ATMOSPHERIC OPACITY; ANGULAR SCALES; 90 GHZ; SKY; RECEIVER; SEARCH; DESIGN; TELESCOPE; MIXERS</t>
  </si>
  <si>
    <t>During the past decade, a year-round observatory has been established at the geographic South Pole by the Center for Astrophysical Research in Antarctica (CARA). CARA has fielded several millimeter- and submillimeter-wave instruments: AST/RO (the Antarctic Submillimeter Telescope and Remote Observatory, a 1.7-m telescope outfitted with a variety of receivers at frequencies from 230 GHz to 810 GHz, including PoleSTAR, a heterodyne spectrometer array), Python (a degree-scale CMB telescope), Viper (a 2-m telescope which has been outfitted with SPARO, a submillimeter-wave bolometric array polarimeter, ACBAR, a multi-channel CMB instrument, and Dos Equis, a HEMT polarimeter), and DASI (the Degree-Angular Scale Interferometer). These instruments have obtained significant results in studies of the interstellar medium and observational cosmology, including detections of the 1degrees acoustic peak in the CMB and the Sunyaev-Zel'dovich effect. The South Pole environment is unique among observatory sites for unusually low wind speeds, low absolute humidity, and the consistent clarity of the submillimeter sky. The atmosphere is dessicated by cold: at the South Pole's average annual temperature of -49 C, the partial pressure of saturated water vapor is only 1.2% of what it is at 0 C. The low water vapor levels result in exceptionally low values of sky noise. This is crucial for large-scale observations of faint cosmological sources-for such observations the South Pole is unsurpassed.</t>
  </si>
  <si>
    <t>Smithsonian Astrophys Observ, Cambridge, MA 02138 USA</t>
  </si>
  <si>
    <t>Harvard University; Smithsonian Astrophysical Observatory; Smithsonian Institution</t>
  </si>
  <si>
    <t>Smithsonian Astrophys Observ, 60 Garden St, Cambridge, MA 02138 USA.</t>
  </si>
  <si>
    <t>Stark, Antony/0000-0002-2718-9996</t>
  </si>
  <si>
    <t>0-7354-0062-8</t>
  </si>
  <si>
    <t>BU75M</t>
  </si>
  <si>
    <t>WOS:000176917100014</t>
  </si>
  <si>
    <t>Holt, SJ</t>
  </si>
  <si>
    <t>The whaling controversy</t>
  </si>
  <si>
    <t>whaling; negotiation; non-governmental organisations; management; marine protected areas; Antarctic</t>
  </si>
  <si>
    <t>Since the three moratoria decisions by the International Whaling Commission (IWC) in 1979, 1981 and 1982 (in force 1986) commercial whaling by IWC members has in practice continued and expanded, both in numbers and in species taken by Norway under two objections to IWC decisions, and by Japan under a conditional objection to a 1994 decision to declare the entire southern ocean as a whale sanctuary and by issuing special permits for what it calls scientific research. While the continuing controversy, between governments (and non-governmental organisations) which continue commercial whaling and those that either never did or have ceased, is well-known (though often poorly understood), there is little agreement among the latter group regarding ways to at least bring any whaling back under international control. Here the author explores some options and expresses his preferences.</t>
  </si>
  <si>
    <t>Holt, SJ (corresponding author), 4 Upper House Farm, Crickhowell NP8 1BP, Powys, Wales.</t>
  </si>
  <si>
    <t>505RL</t>
  </si>
  <si>
    <t>WOS:000172929300001</t>
  </si>
  <si>
    <t>Seabird and seal -: fisheries interactions in the Australian Patagonian toothfish Dissostichus eleginoides trawl fishery</t>
  </si>
  <si>
    <t>seabirds; commercial fishery; fisheries interactions; trawling</t>
  </si>
  <si>
    <t>COMMERCIAL FISHERIES; SOUTHERN-OCEAN; NORTH-SEA; DISCARDS; MORTALITY; DIETS; BAY</t>
  </si>
  <si>
    <t>From 1997 to 2000, contacts between seabirds and seals with fishing gear were recorded on two Australian trawlers operating around Macquarie Island (MI) and Heard and McDonald Islands (HIMI). Observers recorded contacts when any part of the body of a bird or seal touched any of the pre-defined contact points of the fishing gear. A total of 47042 and 148593 bird and seal sightings were made from fishing vessels at MI and at HIMI, respectively. Of 631 shots-hauls at MI, 263 shots and 344 hauls were observed, and 620 shots and 699 hauls of a total of 1324 shots-hauls were monitored at HIMI. Interactions or contacts occurred in 308 and 283 of observed shots and hauls, respectively,, at HIMI, at MI contacts between wildlife and fishing gear were noted in 58 and 124 of shots and hauls observed:. A total of 637 and 1696 contacts were observed at MI and at HIMI, respectively, of which 633 at MI and 1656 at HIMI did not incur any injuries. At MI, no deaths or serious injuries were reported other than the death of one southern elephant seal (Mirounga leonina) that may have died in the net. During shots at HIMI, four cape petrels (Daption capense) were reported to be injured seriously and one cape petrel and one giant petrel (Macronectes sp.) were killed. Another three cape petrels may have sustained serious injuries, two died and another two are likely to have died during hauls. The low numbers of serious incidences can probably be ascribed to the absence of a netsonde cable and other preventative measures. (C) 2002 Elsevier Science B.V. All rights reserved.</t>
  </si>
  <si>
    <t>Australian Antarctic Div, Dept Environm &amp; Heritage, Kingston, Tas 7050, Australia</t>
  </si>
  <si>
    <t>Wienecke, B (corresponding author), Australian Antarctic Div, Dept Environm &amp; Heritage, Channel Highway, Kingston, Tas 7050, Australia.</t>
  </si>
  <si>
    <t>10.1016/S0165-7836(00)00307-6</t>
  </si>
  <si>
    <t>WOS:000172929300009</t>
  </si>
  <si>
    <t>Suzuki, M; Ishikawa, H; Otani, S; Tobayama, T; Katsumata, E; Ueda, K; Uchida, S; Yoshioka, M; Aida, K</t>
  </si>
  <si>
    <t>Suzuki, Miwa; Ishikawa, Hajime; Otani, Seiji; Tobayama, Teruo; Katsumata, Etsuko; Ueda, Keiichi; Uchida, Senzo; Yoshioka, Motoi; Aida, Katsumi</t>
  </si>
  <si>
    <t>The characteristics of adrenal glands and its hormones in cetaceans</t>
  </si>
  <si>
    <t>cortisol; corticoids; cetacean; dolphin; whale; metabolism; 21-deoxycortisol</t>
  </si>
  <si>
    <t>Cortisol is a member of the corticoid family and is known as a stress hormone. In cetaceans, cortisol is frequently measured as a stress indicator. However, inappropriate estimation of cortisol concentration frequently occurs due to a lack of fundamental knowledge of corticoids in cetaceans. We carried out several experiments to establish standard methods of cortisol measurement in cetaceans. 1) Cortisol biosynthesis was confirmed in Antarctic minke whales Balaenoptera bonaerensis. Corticoids including cortisol, progestins, adrenal androgens and many other intermediates were synthesized from (14)C-pregnenolone. 2) Serum cortisol concentrations in 15 cetaceans species were measured. Average cortisol concentrations in each species showed a wide range from 2.9 ng/ml in killer whale Orcinus orca to 39.9 ng/ml in striped dolphin Stenella coeruleoalba. A negative correlation between cortisol and body length was confirmed. 3) Diurnal changes in cortisol concentrations were investigated in well-trained Indo-Pacific bottlenose dolphins Tursiops aduncus and in killer whales. Cortisol concentrations in both species exhibited episodic fluctuations with decreases in the evening and increases in the early morning. Annual cortisol changes in killer whales were also investigated, and pattern varied according to sex. 4) Changes in serum cortisol concentrations following transport into captivity in a male rough-toothed dolphin Steno bredanensis were investigated. Cortisol concentrations were high on the day of transport, and continued to decline until stabilizing about four months later. 5) Twenty-one-deoxycortisol concentrations increased with time after transport, and a significant negative correlation between cortisol and 21-deoxycortisol was demonstrated in a rough-toothed dolphin. This suggested that 21-deoxycortisol is useful as a negative indicator of stress.</t>
  </si>
  <si>
    <t>[Suzuki, Miwa; Aida, Katsumi] Univ Tokyo, Grad Sch Agr &amp; Life Sci, Bunkyo Ku, Tokyo 1138657, Japan; [Ishikawa, Hajime; Otani, Seiji] Inst Japan Cetacean Res, Chuo Ku, Tokyo 1040055, Japan; [Tobayama, Teruo; Katsumata, Etsuko] Int Marine Biol Res Inst Kamogawa Sea World, Chiba 2690041, Japan; [Ueda, Keiichi; Uchida, Senzo] Okinawa Expo Aquarium, Motobu, Okinawa 9050206, Japan; [Yoshioka, Motoi] Mie Univ, Fac Biosources, Tsu, Mie 5148507, Japan</t>
  </si>
  <si>
    <t>University of Tokyo; Mie University</t>
  </si>
  <si>
    <t>Suzuki, M (corresponding author), Univ Tokyo, Grad Sch Agr &amp; Life Sci, Bunkyo Ku, Tokyo 1138657, Japan.</t>
  </si>
  <si>
    <t>miwa@marine.fs.a.u-tokyo.ac.jp</t>
  </si>
  <si>
    <t>Japanese Society for the Promotion of Science; Ministry of Education, Culture, Sports, Science, and Technology of Japan</t>
  </si>
  <si>
    <t>Japanese Society for the Promotion of Science(Ministry of Education, Culture, Sports, Science and Technology, Japan (MEXT)Japan Society for the Promotion of Science); Ministry of Education, Culture, Sports, Science, and Technology of Japan(Ministry of Education, Culture, Sports, Science and Technology, Japan (MEXT))</t>
  </si>
  <si>
    <t>We thank Prof. Kiyoshi Asahina, College of Bioresource Science, Nihon University, and Dr. Ichiro Kawazoe, Graduate School of Agricultural and Life Sciences, The University of Tokyo, for their advice in relation to this study. The present study was partially supported by the Japanese Society for the Promotion of Science, the Ministry of Education, Culture, Sports, Science, and Technology of Japan.</t>
  </si>
  <si>
    <t>SPRINGER TOKYO</t>
  </si>
  <si>
    <t>1-11-11 KUDAN-KITA, CHIYODA-KU, TOKYO, 102-0073, JAPAN</t>
  </si>
  <si>
    <t>10.2331/fishsci.68.sup1_272</t>
  </si>
  <si>
    <t>V15CR</t>
  </si>
  <si>
    <t>WOS:000207780600062</t>
  </si>
  <si>
    <t>Marsh, H; Dinesen, Z</t>
  </si>
  <si>
    <t>Marsh, Helene; Dinesen, Zena</t>
  </si>
  <si>
    <t>Marine mammal research in Australia</t>
  </si>
  <si>
    <t>marine mammals; whales; dugongs; seals; sea lions; cetaceans; sirenian; pinnipeds; Australia; Antarctica; Exclusive Economic Zone</t>
  </si>
  <si>
    <t>Australia has a diverse marine mammal fauna, which includes cetaceans, pinnipeds and one sirenian. The papers presented at the 2001 Southern Hemisphere Marine Mammal Conference provide an overview of the scope of marine mammal research in Australian waters. Twenty-eight percent of papers were based on work conducted in tropical waters, 35% in temperate waters, and just over 20% in subantarctic and antarctic waters; the remainder spanned more than one geographic area. More than half the papers were ecological in focus. Other major topic areas included behaviour (12%) and conservation management (10%). More than half of the Australian papers dealt with human-marine mammal interactions, especially fisheries (15%), anthropogenic noise and boat traffic (14%) and tourism (12%). Current sea mammal research in Australian waters is discussed with reference to the taxa covered; alignment with research priorities identified in action plans for Australian cetaceans and pinnipeds; and institutional arrangements and support for marine mammal research.</t>
  </si>
  <si>
    <t>[Marsh, Helene; Dinesen, Zena] James Cook Univ, Sch Trop Environm Studies &amp; Geog, Townsville, Qld 4811, Australia</t>
  </si>
  <si>
    <t>James Cook University</t>
  </si>
  <si>
    <t>Marsh, H (corresponding author), James Cook Univ, Sch Trop Environm Studies &amp; Geog, Townsville, Qld 4811, Australia.</t>
  </si>
  <si>
    <t>Helene.Marsh@jcu.edu.au</t>
  </si>
  <si>
    <t>Otsuchi Marine Research Centre at the Ocean Research Institute, University of Tokyo</t>
  </si>
  <si>
    <t>Thanks to: Lucija Tomljenovic for establishing the database of research papers; Adella Edwards for assistance with the figure, Shannon Hogan for formatting the manuscript, and. Otsuchi Marine Research Centre at the Ocean Research Institute, University of Tokyo for supporting HM's travel to Japan.</t>
  </si>
  <si>
    <t>10.2331/fishsci.68.sup1_276</t>
  </si>
  <si>
    <t>WOS:000207780600063</t>
  </si>
  <si>
    <t>Pastene, LA; Goto, M; Kanda, N</t>
  </si>
  <si>
    <t>Pastene, Luis A.; Goto, Mutsuo; Kanda, Naohisa</t>
  </si>
  <si>
    <t>The utility of DNA analysis for the management and conservation of large whales</t>
  </si>
  <si>
    <t>large whales; DNA; management; conservation; forensics</t>
  </si>
  <si>
    <t>Recent advances in molecular biology have permitted the application of modern DNA techniques to the study of population genetics of large whale species. Among the most commonly used techniques is sequencing analysis of a portion of the maternal inherited mitochondrial DNA (mtDNA) control region and analysis of bi-parental inherited nuclear DNA (nDNA) using microsatellites. In the context of the conservation and management of large whales these molecular tools have been used to i) clarify the taxonomic status of certain species, ii) elucidate population structure and iii) investigate the species identity (and population in certain cases) of whale products in the retail market. The combined use of both mtDNA and nDNA presents several advantages for these studies. Each of these applications is illustrated with a case-study: i) taxonomy of the minke whale, ii) Antarctic humpback whale population structure and iii) list of species identified from whale products in the Japanese retail market.</t>
  </si>
  <si>
    <t>[Pastene, Luis A.; Goto, Mutsuo; Kanda, Naohisa] Inst Cetacean Res, Chuo Ku, Tokyo 1040055, Japan</t>
  </si>
  <si>
    <t>Pastene, LA (corresponding author), Inst Cetacean Res, Chuo Ku, Toyomi 4-18, Tokyo 1040055, Japan.</t>
  </si>
  <si>
    <t>pastene@i-cetacean-r.or.jp</t>
  </si>
  <si>
    <t>10.2331/fishsci.68.sup1_286</t>
  </si>
  <si>
    <t>WOS:000207780600065</t>
  </si>
  <si>
    <t>Sato, K; Naito, Y</t>
  </si>
  <si>
    <t>Sato, Katsufumi; Naito, Yasuhiko</t>
  </si>
  <si>
    <t>Biological research on marine mammals using modern sensing and recording techniques</t>
  </si>
  <si>
    <t>data logger; diving; camera</t>
  </si>
  <si>
    <t>STOMACH TEMPERATURES; LOGGERHEAD TURTLES; PREY INGESTION; BEHAVIOR; ESOPHAGUS</t>
  </si>
  <si>
    <t>Since the 1980s, studies of the diving behavior of marine animals have been made possible by the development of time-depth recorders, which provide useful information on unrestrained dives. To make progress in understanding the underwater behaviors, however, three significant gaps in our knowledge must be filled: (1) the energy costs of diving; (2) prey distribution around animals; and (3) social interactions among individuals. Newly developed data loggers, which have multi-sensors, are available to answer these questions. For example, acceleration data is useful for monitoring the flipper movements of animals and underwater digital cameras provide useful information on prey distribution and social interactions among individuals. We are entering a new era of technology for measuring the behavior, ecology, and physiology of marine mammals.</t>
  </si>
  <si>
    <t>[Sato, Katsufumi; Naito, Yasuhiko] Natl Inst Polar Res, Itabashi Ku, Tokyo 1738515, Japan</t>
  </si>
  <si>
    <t>Sato, K (corresponding author), Natl Inst Polar Res, Itabashi Ku, 1-9-10 Kaga, Tokyo 1738515, Japan.</t>
  </si>
  <si>
    <t>Japan Society for the Promotion of Science [11691197]; Sasakawa Scientific Research Grant; Grants-in-Aid for Scientific Research [11691197] Funding Source: KAKEN</t>
  </si>
  <si>
    <t>Japan Society for the Promotion of Science(Ministry of Education, Culture, Sports, Science and Technology, Japan (MEXT)Japan Society for the Promotion of Science); Sasakawa Scientific Research Grant; Grants-in-Aid for Scientific Research(Ministry of Education, Culture, Sports, Science and Technology, Japan (MEXT)Japan Society for the Promotion of ScienceGrants-in-Aid for Scientific Research (KAKENHI))</t>
  </si>
  <si>
    <t>This research was supported in part by a Grant-in-Aid from the Japan Society for the Promotion of Science (11691197) and a Sasakawa Scientific Research Grant We are also grateful to Minamichita Beach land Aquarium, all members of the 40th Japanese Antarctic Research Expedition, Ogasawara Marine Center, Donald Siniff and Michael Cameron for supporting the experiments</t>
  </si>
  <si>
    <t>SPRINGER JAPAN KK</t>
  </si>
  <si>
    <t>CHIYODA FIRST BLDG EAST, 3-8-1 NISHI-KANDA, CHIYODA-KU, TOKYO, 101-0065, JAPAN</t>
  </si>
  <si>
    <t>1444-2906</t>
  </si>
  <si>
    <t>10.2331/fishsci.68.sup1_290</t>
  </si>
  <si>
    <t>WOS:000207780600066</t>
  </si>
  <si>
    <t>Zhang, XJ; Yao, TD; Ma, XJ; Wang, NL</t>
  </si>
  <si>
    <t>Microorganisms in a high altitude glacier ice in Tibet</t>
  </si>
  <si>
    <t>FOLIA MICROBIOLOGICA</t>
  </si>
  <si>
    <t>LAKE VOSTOK; SEA-ICE; ANTARCTICA; BACTERIA</t>
  </si>
  <si>
    <t>Eighty-one strains of viable microorganisms were recovered from 23 samples collected from Ice Core 3 of Malan Glacier (China, 91degrees 45.3degrees E, 35degrees 48.4' N) drilled at high altitude (5620 m). All the strains were prokaryotes - 75 of bacteria (including spore-forming ones) and 6 of actinomycetes. The characteristic genera differ from those of Arctic and Antarctic ice, in which many fungi and algae are widely distributed; this shows an difference of environmental conditions between Tibet and polar regions. The variation in number and species of Bacillus in different ice core layers implied changes of environmental conditions in the past.</t>
  </si>
  <si>
    <t>Chinese Acad Sci, Lab Ice Core &amp; Cold Reg Environm, Cold &amp; Arid Reg Environm &amp; Engn Res Inst, Lanzhou 730000, Peoples R China; Lanzhou Univ, Sch Life Sci, Lanzhou 730000, Peoples R China</t>
  </si>
  <si>
    <t>Chinese Academy of Sciences; Cold &amp; Arid Regions Environmental &amp; Engineering Research Institute, CAS; Lanzhou University</t>
  </si>
  <si>
    <t>Zhang, XJ (corresponding author), Chinese Acad Sci, Lab Ice Core &amp; Cold Reg Environm, Cold &amp; Arid Reg Environm &amp; Engn Res Inst, Lanzhou 730000, Peoples R China.</t>
  </si>
  <si>
    <t>Zhang, Xiaojun/C-4053-2008</t>
  </si>
  <si>
    <t>PRAGUE 4</t>
  </si>
  <si>
    <t>INST MICROBIOLOGY, VIDENSKA 1083, PRAGUE 4 142 20, CZECH REPUBLIC</t>
  </si>
  <si>
    <t>0015-5632</t>
  </si>
  <si>
    <t>FOLIA MICROBIOL</t>
  </si>
  <si>
    <t>Folia Microbiol.</t>
  </si>
  <si>
    <t>10.1007/BF02817645</t>
  </si>
  <si>
    <t>558WP</t>
  </si>
  <si>
    <t>WOS:000175990400007</t>
  </si>
  <si>
    <t>Nanni, D; Viotti, RF; Badiali, A; Di Lellis, AM; Ferrari, M</t>
  </si>
  <si>
    <t>Dressler, AM</t>
  </si>
  <si>
    <t>A new 30 cm three-reflection telescope for wide-field Astronomy on the Antarctic Plateau</t>
  </si>
  <si>
    <t>FUTURE RESEARCH DIRECTION AND VISIONS FOR ASTRONOMY</t>
  </si>
  <si>
    <t>Conference on Future Research Direction and Visions for Astronomy</t>
  </si>
  <si>
    <t>AUG 25-26, 2002</t>
  </si>
  <si>
    <t>WAIKOLOA, HI</t>
  </si>
  <si>
    <t>astronomical wide-field telescopes; optical design; detectors; antarctica; near earth objects; gamma ray bursts; optical transients</t>
  </si>
  <si>
    <t>We describe a new three-reflection telescope (TRT) prototype, where the 30-cm primary mirror is acting as the first and the third reflecting surfaces with different figurings. The two surfaces were realized and polished separately, and then accurately aligned and glued together. This technique has added more flexibility to the original design. The telescope provides: wide (2degreesx2degrees square degrees) corrected and unvignetted field of view, flat-field focal surface, small encumbrance, and easy access to the focal plane instrumentation. These characteristics make the TRT in combination with large area CCD cameras, a useful instrument for wide-field observations from remote and hostile ground sites, such as the Antarctic Plateau. The prototype has been equipped with a 2kx2k thermoelectric cooled CCD camera using the San Diego State University SDSU controller. A second custom controller prototype has been developed for ongoing space and Antarctica applications, characterized by synchronous fast readout capabilities (two 14-bit channels each sampled at 3.3 Msamples/s) and suitable to be scaled to large array mosaic applications. This project is aimed at the discovery and tracking of potentially hazardous NEOs, and identification of transient events such as GRBs.</t>
  </si>
  <si>
    <t>INAF, Osservatorio Astron Roma, I-00040 Monte Porzio Catone, Italy</t>
  </si>
  <si>
    <t>Istituto Nazionale Astrofisica (INAF)</t>
  </si>
  <si>
    <t>Nanni, D (corresponding author), INAF, Osservatorio Astron Roma, Via Frascati 33, I-00040 Monte Porzio Catone, Italy.</t>
  </si>
  <si>
    <t>Marc, FERRARI/0000-0003-2678-7342</t>
  </si>
  <si>
    <t>0-8194-4614-9</t>
  </si>
  <si>
    <t>10.1117/12.456704</t>
  </si>
  <si>
    <t>Astronomy &amp; Astrophysics; Optics</t>
  </si>
  <si>
    <t>BV95G</t>
  </si>
  <si>
    <t>WOS:000180513700021</t>
  </si>
  <si>
    <t>Goff, JR; Jennings, IW; Dickinson, WW</t>
  </si>
  <si>
    <t>Depositional environment of Sirius Group sediments, Table Mountain, Dry Valleys area, Antarctica</t>
  </si>
  <si>
    <t>GEOGRAFISKA ANNALER SERIES A-PHYSICAL GEOGRAPHY</t>
  </si>
  <si>
    <t>PLIOCENE; HISTORY</t>
  </si>
  <si>
    <t>Outcrops and cores of the Sirius Group sediments were studied at Table Mountain, Dry Valleys area, Antarctica. These sediments form a surficial veneer at least 9.5 m thick. Three facies - a gravelly sandstone, a sandstone, and a sandy conglomerate - are mapped and described from 13 outcrops and three cores. The gravelly sandstone, constituting 13% of all cored material, is bimodal with matrix-supported elasts comprising 5-33% of the facies. Fabiic analysis indicates that it was deposited primarily by lodgment from glacial ice but with minor elements of meltout and flow. The sandstone facies, constituting 77% of all cored material, is a well-sorted, fine- to medium-grained sand, which commonly has laminated bedding. It is predominantly a glaciofluvial deposit but has some glaciolacustrine elements. The sandy conglomerate, constituting 10% of all cored material, is a minor facies, It is massive and elast-supported. It was deposited in a high-energy environment suggestive of subglacial meltwater channels. Sirius Group sediments at Table Mountain are the result of wet-based ice advancing and retreating over waterlain deposits. This is consistent with an advancing ice mass in climatic conditions that were warmer than present. The majority of the sediments were deposited by alpine ice following a similar pathway to the present-day Ferrar Glacier and as such the depositional environment is one that concurs with evidence of a stable East Antarctic Ice Sheet approach. At Table Mountain, the predominantly glaciofluvial and glaciolacustrine facies is inferred to represent a more distal part of the Sirius Group environment than that seen at other outcrops in the Dry Valleys.</t>
  </si>
  <si>
    <t>GeoEnvironm Consultants, Lyttelton RD1, New Zealand; Victoria Univ Wellington, Res Sch Earth Sci, Wellington, New Zealand</t>
  </si>
  <si>
    <t>Victoria University Wellington</t>
  </si>
  <si>
    <t>Goff, JR (corresponding author), GeoEnvironm Consultants, 11 Terrace,Governors Bay, Lyttelton RD1, New Zealand.</t>
  </si>
  <si>
    <t>geoenv@xtra.co.nz; warren.dickinson@vuw.ac.nz</t>
  </si>
  <si>
    <t>0435-3676</t>
  </si>
  <si>
    <t>1468-0459</t>
  </si>
  <si>
    <t>GEOGR ANN A</t>
  </si>
  <si>
    <t>Geogr. Ann. Ser. A-Phys. Geogr.</t>
  </si>
  <si>
    <t>84A</t>
  </si>
  <si>
    <t>10.1111/j.0435-3676.2002.00158.x</t>
  </si>
  <si>
    <t>558FV</t>
  </si>
  <si>
    <t>WOS:000175956400002</t>
  </si>
  <si>
    <t>Schott, JJ; Kleimenova, NG; Kozyreva, OV; Bitterly, M</t>
  </si>
  <si>
    <t>The coast effect in geomagnetic pulsations at the Antarctic Observatory Dumont d'Urville</t>
  </si>
  <si>
    <t>An analysis of the three-component digital geomagnetic registration at 13 coastal high-latitude observatories in the Northern and Southern hemispheres has shown that the coast effect was most pronounced at the Antarctic observatories Mirny and Dumont d'Durville (DRV), where the vertical component amplitudes of Pc4-6 geomagnetic pulsations were two to three times as large as those of the horizontal component. At other high-latitude coastal observatories, this relationship is, as a rule, inverse, or these components arc of the same order of magnitude. Large values of the Z/H ratio and their decrease with increasing oscillation period at DRV can not be explained by the coast effect only. The anomalous structure of the geomagnetic field seems to reflect the local geoelectric conditions, in particular, the presence of the 1-km-thick high-ohmic continental ice close to the observatory and the lack of conductive sedimentary rocks, A magnetotelluric survey and magnetovariational profiling in the vicinity of this station are needed in order to determine the cause of the effect observed at DRV.</t>
  </si>
  <si>
    <t>Ecole &amp; Observ Sci Terr, F-67084 Strasbourg, France; Russian Acad Sci, Schmidt Joint Inst Phys Earth, Moscow 123810, Russia; Inst Earth Sci, Paris, France</t>
  </si>
  <si>
    <t>Russian Academy of Sciences; Schmidt Institute of Physics of the Earth of the Russian Academy of Sciences</t>
  </si>
  <si>
    <t>Schott, JJ (corresponding author), Ecole &amp; Observ Sci Terr, F-67084 Strasbourg, France.</t>
  </si>
  <si>
    <t>531BC</t>
  </si>
  <si>
    <t>WOS:000174394000010</t>
  </si>
  <si>
    <t>Lodolo, E; Camerlenghi, A; Madrussani, G; Tinivella, U; Rossi, G</t>
  </si>
  <si>
    <t>Assessment of gas hydrate and free gas distribution on the South Shetland margin (Antarctica) based on multichannel seismic reflection data</t>
  </si>
  <si>
    <t>Bottom Simulating Reflectors; gas hydrates; natural gas; seismic tomography; South Shetland margin</t>
  </si>
  <si>
    <t>BOTTOM-SIMULATING REFLECTORS; WAVE-FORM INVERSION; VELOCITY STRUCTURE; MARINE-SEDIMENTS; METHANE HYDRATE; CONTINENTAL-MARGIN; CONVERGENT MARGIN; TRIPLE JUNCTION; IRREGULAR GRIDS; PENINSULA</t>
  </si>
  <si>
    <t>Processing and interpretation of a grid of intermediate-resolution multichannel seismic reflection profiles collected on the NE sector of the South Shetland continental margin, allowed us to map the lateral extent of a Bottom Simulating Reflector (BSR). The margin, an accretionary wedge located off the northern tip of the Antarctic Peninsula, consists of two distinct and superimposed tectonic regimes: an older regime is related to Mesozoic-Middle Cenozoic subduction-related tectonism; a younger one is associated with a mainly extensional tectonic phase, and related to the Oligocene development of the western Scotia Sea. The occurrence of the BSR appears to be controlled by the geological structure of the margin. The BSR lacks continuity near basement structures, main geological discontinuities and faults. On the other hand, the amplitude and continuity of the BSR are not affected by the presence of folded structures and undeformed sedimentary layering. We found that the BSR is mostly confined to the NE sector of the South Shetland Margin, where propagation of faulting associated with the Shackleton Fracture Zone may have driven migration of natural gas towards the surface and created the conditions for a BSR to appear. The application of reflection tomography techniques allowed us to reconstruct the averaged seismic velocity field between the seafloor and BSR in order to map the depth of BSR. By averaging the observed velocity structure above and below the BSR, and applying a theoretical model of elastic wave propagation in porous media, we attempted as rigorous a quantitative assessment as possible of the natural gas present as gas hydrate above the BSR and as free gas between the BSR and the Base of Gas Reflector (BGR).</t>
  </si>
  <si>
    <t>Ist Nazl Oceanog &amp; Geofis Sperimentale, I-34010 Trieste, Italy</t>
  </si>
  <si>
    <t>Istituto Nazionale di Oceanografia e di Geofisica Sperimentale</t>
  </si>
  <si>
    <t>Lodolo, E (corresponding author), Ist Nazl Oceanog &amp; Geofis Sperimentale, Borgo Grotta Gigante 42-C, I-34010 Trieste, Italy.</t>
  </si>
  <si>
    <t>Rossi, Giuliana/C-9645-2012; Camerlenghi, Angelo/O-1593-2013; Camerlenghi, Angelo/C-8816-2011; Rossi, Giuliana/B-7534-2014; Camerlenghi, Angelo/AAG-3852-2019; Tinivella, Umberta/AAF-3133-2020</t>
  </si>
  <si>
    <t>Camerlenghi, Angelo/0000-0002-8128-9533; Rossi, Giuliana/0000-0002-5572-1759; Camerlenghi, Angelo/0000-0002-8128-9533; Tinivella, Umberta/0000-0002-1588-6452; LODOLO, Emanuele/0000-0002-4706-2095</t>
  </si>
  <si>
    <t>10.1046/j.0956-540x.2001.01576.x</t>
  </si>
  <si>
    <t>515BA</t>
  </si>
  <si>
    <t>WOS:000173474500007</t>
  </si>
  <si>
    <t>Ichiyanagi, K; Numaguti, A; Kato, K</t>
  </si>
  <si>
    <t>Interannual variation of stable isotopes in Antarctic precipitation in response to El Nino-Southern Oscillation</t>
  </si>
  <si>
    <t>SNOW</t>
  </si>
  <si>
    <t>[1] Evidence for a close relationship between the interannual variation of stable isotopes in Antarctic precipitation and the El Nino-Southern Oscillation (ENSO) was found. Anomalies of sea surface temperature in the Equatorial Pacific and delta(18)O in precipitation in the Antarctic Peninsula are negatively correlated, both having a strong spectral power at about 3 years. The low (high) anomaly of delta(18)O is associated with southerly (northerly) and cold (warm) anomalies, which are considered appear as a response to the ENSO teleconnection. It was suggested that the flux and transport passway of southward moisture are the main factors determining the observed variation of stable isotopes in Antarctic precipitation.</t>
  </si>
  <si>
    <t>Inst Global Change Res, Frontier Observ Res Syst Global Chenge, Kanazawa Ku, Yokohama, Kanagawa 2360001, Japan; Nagoya Univ, Inst Hydrospher Atmospher Sci, Chikusa Ku, Nagoya, Aichi 4648601, Japan; Hokkaido Univ, Grad Sch Environm Earth Sci, Sapporo, Hokkaido 0600810, Japan</t>
  </si>
  <si>
    <t>Japan Agency for Marine-Earth Science &amp; Technology (JAMSTEC); Nagoya University; Hokkaido University</t>
  </si>
  <si>
    <t>Inst Global Change Res, Frontier Observ Res Syst Global Chenge, Kanazawa Ku, 3173-25 Showa Machi, Yokohama, Kanagawa 2360001, Japan.</t>
  </si>
  <si>
    <t>kimpei@jamstec.go.jp; numa@ees.hokudai.ac.jp; kikukato@ihas.nagoya-u.ac.jp</t>
  </si>
  <si>
    <t>10.1029/2000GL012815</t>
  </si>
  <si>
    <t>609CC</t>
  </si>
  <si>
    <t>WOS:000178884200013</t>
  </si>
  <si>
    <t>Maqueda, MAM; Rahmstorf, S</t>
  </si>
  <si>
    <t>Did Antarctic sea-ice expansion cause glacial CO2 decline? -: art. no. 1011</t>
  </si>
  <si>
    <t>ATMOSPHERIC CARBON-DIOXIDE; MODEL; CORE</t>
  </si>
  <si>
    <t>[1] Recently, Stephens and Keeling [2000] have put forward an appealing theory for explaining the decrease in glacial atmospheric CO2. They argue that a compact sea-ice cover extending southward of similar to55degrees S trapped large amounts of CO2 beneath the sea surface, thus accounting for the lower atmospheric concentrations. An atmosphere-ocean box model in which sea-ice area is prescribed allows them to simulate similar to80% of the CO2 drawdown. However, glacial CO2 levels can be attained in their model only when the fraction of ice-covered area southward of the Antarctic Polar Front rises to 99-100%. We present simulations with a coupled sea ice-upper ocean model indicating that ice-area fractions so large might have not prevailed even under rather extreme glacial conditions. The combination of our glacial ice-coverage estimates with the ice area-CO2 relation derived by Stephens and Keeling suggests that CO2 sequestration under sea ice could account for at most 15-50% of the total glacial CO2 decline.</t>
  </si>
  <si>
    <t>Potsdam Inst Climate Impact Res, D-14412 Potsdam, Germany</t>
  </si>
  <si>
    <t>Potsdam Institut fur Klimafolgenforschung</t>
  </si>
  <si>
    <t>Maqueda, MAM (corresponding author), Potsdam Inst Climate Impact Res, POB 60 12 03, D-14412 Potsdam, Germany.</t>
  </si>
  <si>
    <t>Rahmstorf, Stefan/A-8465-2010; Maqueda, Miguel Angel Morales/AAJ-8138-2020</t>
  </si>
  <si>
    <t>Rahmstorf, Stefan/0000-0001-6786-7723;</t>
  </si>
  <si>
    <t>10.1029/2001GL013240</t>
  </si>
  <si>
    <t>WOS:000178884200003</t>
  </si>
  <si>
    <t>Watt, CEJ; Horne, RB; Freeman, MP</t>
  </si>
  <si>
    <t>Ion-acoustic resistivity in plasmas with similar ion and electron temperatures</t>
  </si>
  <si>
    <t>SOLAR-WIND; WAVES; MAGNETOPAUSE; INSTABILITY; IONOSPHERE; LAYER</t>
  </si>
  <si>
    <t>[1] Analytical estimates of resistivity due to electrostatic current-driven ion-acoustic waves are compared with Vlasov simulation results. Particular attention is given to the case of similar ion and electron temperatures that is appropriate to the magnetopause and low-latitude boundary layer (LLBL). It is shown that Vlasov simulation runs of growing ion-acoustic waves with T-e = 2T(i) give values of resistivity which are at least three orders of magnitude higher than an existing analytical estimate [Labelle and Treumann, Sp. Sci. Rev., 47, 1988] and exhibit a different dependence on the wave energy density. A particle-in-cell code was also run with the same temperature ratio and gave similar resistivity values that back up the Vlasov simulation results. The discrepancy between simulation and analytical estimate arises because the derivation of the analytical estimate assumes that the quasilinear effects of the instability are weak. The simulation results show that this is not the case, since plateau formation is clearly seen in the electron distribution function. These simulation results show that the ion-acoustic instability may be more important in the magnetopause and LLBL than previously thought.</t>
  </si>
  <si>
    <t>Watt, CEJ (corresponding author), British Antarctic Survey, NERC, High Cross,Madingley Rd, Cambridge CB3 0ET, England.</t>
  </si>
  <si>
    <t>Horne, Richard B/U-3764-2019; Freeman, Mervyn/E-5687-2019; Watt, Clare/C-5218-2008</t>
  </si>
  <si>
    <t>Horne, Richard B/0000-0002-0412-6407; Freeman, Mervyn/0000-0002-8653-8279; Watt, Clare/0000-0003-3193-8993</t>
  </si>
  <si>
    <t>10.1029/2001GL013451</t>
  </si>
  <si>
    <t>WOS:000178884200010</t>
  </si>
  <si>
    <t>Hambrey, MJ; Barrett, PJ; Powell, RD</t>
  </si>
  <si>
    <t>Dowdeswell, JA; Cofaigh, CO</t>
  </si>
  <si>
    <t>Late Oligocene and early Miocene glacimarine sedimentation in the SW Ross Sea, Antarctica: the record from offshore drilling</t>
  </si>
  <si>
    <t>GLACIER-INFLUENCED SEDIMENTATION ON HIGH-LATITUDE CONTINENTAL MARGINS</t>
  </si>
  <si>
    <t>Geological Society Special Publication</t>
  </si>
  <si>
    <t>Meeting on Glacier-Influenced Sedimentation on High-Latitude Continental Margins</t>
  </si>
  <si>
    <t>UNIV BRISTOL, BRISTOL, ENGLAND</t>
  </si>
  <si>
    <t>UNIV BRISTOL</t>
  </si>
  <si>
    <t>EAST GREENLAND; SCORESBY-SUND; ICE-SHEET; BASIN; EVOLUTION; GLACIERS; FACIES; INLET</t>
  </si>
  <si>
    <t>Recent offshore drilling in the SW Ross Sea has recovered three cores with a cumulative thickness of 1500 in of Oligocene-early Miocene strata. Together with data from earlier drilling, notably from the CIROS-1 drillhole 70 kin to the south (702 in of core), the cores record shallow marine glacigenic sedimentation at the margin of a rift basin bordering a mountain range that was breached by outlet glaciers from an ice sheet. This paper focuses on the late Oligocene-early Miocene record, which preserves sedimentary facies that represent warmer glacier ice and climatic conditions than are evident in the Antarctic today. Strata were cored near the South Victoria Land coast, and sedimentary facies include diamictite, conglomerate, breccia, sandstone, siltstone, mudstone and rhythmite. Facies associations, combined with seismic stratigraphic data, indicate an alternating proximal and distal marine record of glacigenic sedimentation, including phases of glacier grounding and variable degrees of iceberg rafting. Reworking by gravity-flow processes and near-shore submarine currents is also evident. These facies, together with evidence for periglacial vegetation, provide evidence of a late Oligocene-early Miocene climatic regime resembling that in the high-Arctic today. Thus, the climate was transitional between cool-temperate conditions of early Oligocene and cold-polar conditions of Quaternary time.</t>
  </si>
  <si>
    <t>Univ Coll Wales, Inst Geog &amp; Earth Sci, Ctr Glaciol, Aberystwyth SY23 3DB, Ceredigion, Wales</t>
  </si>
  <si>
    <t>Aberystwyth University</t>
  </si>
  <si>
    <t>Univ Coll Wales, Inst Geog &amp; Earth Sci, Ctr Glaciol, Aberystwyth SY23 3DB, Ceredigion, Wales.</t>
  </si>
  <si>
    <t>mjh@aber.ac.uk</t>
  </si>
  <si>
    <t>GEOLOGICAL SOC PUBLISHING HOUSE</t>
  </si>
  <si>
    <t>UNIT 7, BRASSMILL ENTERPRISE CTR, BRASSMILL LANE, BATH BA1 3JN, AVON, ENGLAND</t>
  </si>
  <si>
    <t>0305-8719</t>
  </si>
  <si>
    <t>1-86239-120-3</t>
  </si>
  <si>
    <t>GEOL SOC SPEC PUBL</t>
  </si>
  <si>
    <t>Geol. Soc. Spec. Publ.</t>
  </si>
  <si>
    <t>10.1144/GSL.SP.2002.203.01.07</t>
  </si>
  <si>
    <t>BX15B</t>
  </si>
  <si>
    <t>WOS:000184435800007</t>
  </si>
  <si>
    <t>Evans, J; Dowdeswell, JA; Grobe, H; Niessen, F; Stein, R; Hubberten, HW; Whittington, RJ</t>
  </si>
  <si>
    <t>Quaternary sedimentation in Kejser Franz Joseph Fjord and the continental margin of East Greenland</t>
  </si>
  <si>
    <t>POLAR NORTH-ATLANTIC; TROUGH-MOUTH-FAN; CENTRAL ARCTIC-OCEAN; SCORESBY-SUND; LATEST PLEISTOCENE; LAST DEGLACIATION; WESTERN SVALBARD; OXYGEN ISOTOPES; DEBRIS FLOW; WEDDELL SEA</t>
  </si>
  <si>
    <t>The marine sedimentary record in Kejser Franz Joseph Fjord and on the East Greenland continental margin contains a history of Late Quaternary glaciation and sedimentation. Evidence suggests that a middle-shelf moraine represents the maximum shelfward extent of the Greenland Ice Sheet during the last glacial maximum. On the upper slope, coarse-grained sediments are derived from the release of significant quantities of iceberg-rafted debris (IRD) and subsequent remobilization by subaqueous mass-flows. The middle-lower slope is characterized by hemipelagic sedimentation with lower quantities of IRD (dropstone mud and sandy mud), punctuated episodically by deposition of diamicton and graded sand/gravel facies by subaqueous debris flows and turbidity currents derived from the mass failure of upper slope sediments. The downslope decrease of IRD reflects either the action of the East Greenland Current (EGC) confining icebergs to the upper slope, or to the more ice-proximal setting of the upper slope relative to the LGM ice margin. Sediment gravity flows on the slope are likely to have fed into the East Greenland channel system, contributing to its formation in conjunction with the cascade of dense brines down the slope following sea-ice formation across the shelf. Deglaciation commenced after 15 300 C-14 years Bp, as indicated by meltwater-derived light oxygen isotope ratios. An abrupt decrease in both IRD deposition and delivery of coarse-grained debris to the slope at this time supports ice recession, with icebergs confined to the shelf by the EGC. Glacier ice had abandoned the middle shelf before 13 000 C-14 years BP with ice loss through iceberg calving and deposition of diamicton. Continued retreat of glacier-ice from the inner shelf and through the fjord is marked by a transition from subglacial till/bedrock in acoustic records, to ice-proximal meltwater-derived laminated mud to ice-distal bioturbated mud. Ice abandoned the inner shelf before 9100 C-14 years UP and probably stabilized in Fosters Bugt at 10 000 C-14 years Bp. Distinct oxygen isotope minima on the inner shelf indicate meltwater production during ice retreat. The outer fjord was free of ice before 7440 14C years up. Glacier retreat through the mid-outer fjord was punctuated by topographically-controlled stillstands where ice-proximal sediment was fed into fjord basins. The dominance of fine-grained, commonly laminated facies during deglaciation supports ablation-controlled, ice-mass loss. Glacimarine sedimentation within the Holocene middle-outer fjord system is dominated by sediment gravity flow and suspension settling from meltwater plumes. Suspension sediments comprise mainly mud facies indicating significant meltwater-deposition that overwhelms debris release from icebergs in this East Greenland fjord system. The relatively widespread occurrence of fine-grained lithofacies in East Greenland fjords suggests that meltwater sedimentation can be significant in polar glacimarine environments. The ice-distal continental margin is characterized by meltwater sedimentation in the inner shelf deep, iceberg scouring over shallow shelf regions, winnowing and erosion by the East Greenland Current on the middle-outer shelf, and hemipelagic sedimentation on the continental slope.</t>
  </si>
  <si>
    <t>British Antarctic Survey, Geol Div, Cambridge CB3 0ET, England</t>
  </si>
  <si>
    <t>British Antarctic Survey, Geol Div, Madingley Rd, Cambridge CB3 0ET, England.</t>
  </si>
  <si>
    <t>Dowdeswell, Julian/0000-0003-1369-9482; Stein, Ruediger/0000-0002-4453-9564; Niessen, Frank/0000-0001-6453-0594; Grobe, Hannes/0000-0002-4133-2218</t>
  </si>
  <si>
    <t>10.1144/GSL.SP.2002.203.01.09</t>
  </si>
  <si>
    <t>WOS:000184435800009</t>
  </si>
  <si>
    <t>Ottesen, D; Dowdeswell, JA; Rise, L; Rokoengen, K; Henriksen, S</t>
  </si>
  <si>
    <t>Large-scale morphological evidence for past ice-stream flow on the mid-Norwegian continental margin</t>
  </si>
  <si>
    <t>CENOZOIC STRATIGRAPHY; SHEET; SEA; PALAEOGLACIOLOGY; SEDIMENTATION; GLACIATION; DEPOSITS; HISTORY; NORWAY; PART</t>
  </si>
  <si>
    <t>The Norwegian continental margin has been affected by several cycles of growth and decay of the Fermoscandinavian Ice Sheet. Evidence for this former ice-sheet activity is found in the seismic stratigraphy of the shelf and slope, and in the morphology of sea-floor sediments. The regional bathymetry of the mid-Norwegian shelf (63degreesN to 68degreesN) comprises a series of cross-shelf troughs, separated by shallower banks. In Traenadjupet and Suladjupet, streamlined, elongate sedimentary bedforms (known as mega-scale lineations) are found, aligned along trough long-axes. Spacing between ridge-tops is 400-500 m, and ridge width and height are about 250 m and less than 10 m, respectively. Streamlined bedforms are not present on the intervening shallow banks, and terminate abruptly at the trough margins, marking the former boundary of fast glacier flow. On northwestern Traenabanken and on either side of Traenadjupet, lateral ridges are inferred to mark the shear margin of ice streams in Sklinnadjupet and Traenadjupet. The Skjoldryggen Moraine records the seaward limit of Late Weichselian ice-sheet growth, and ridges inshore result from deposition in still-stands during ice retreat. The streamlined bedforms in Traenadjupet and Suladjupet are similar in morphology and scale to streamlined Antarctic bedforms, linked to the former presence of fast-flowing ice streams on the continental shelves of Antarctica. Several geomorphological criteria, identified as diagnostic of past ice-stream flow, are observed in our geophysical studies of the mid-Norwegian shelf. Using these criteria, we identify several fast-flowing ice streams on the western margin of the former Fermoscandinavian Ice Sheet. Numerical ice-sheet model predictions of fast-flowing ice coincide closely with the inferred locations of past ice streams based on the distribution of such suites of diagnostic bedforms.</t>
  </si>
  <si>
    <t>Geol Survey Norway, N-7491 Trondheim, Norway</t>
  </si>
  <si>
    <t>Geological Survey of Norway</t>
  </si>
  <si>
    <t>Geol Survey Norway, N-7491 Trondheim, Norway.</t>
  </si>
  <si>
    <t>dag.ottesen@ngu.no</t>
  </si>
  <si>
    <t>10.1144/GSL.SP.2002.203.01.13</t>
  </si>
  <si>
    <t>WOS:000184435800013</t>
  </si>
  <si>
    <t>Woodward, J; Carver, S; Kunzendorf, H; Bennike, O</t>
  </si>
  <si>
    <t>Observations of surge periodicity in East Greenland using molybdenum records from marine sediment cores</t>
  </si>
  <si>
    <t>VARIEGATED GLACIER; MASS-BALANCE; SVALBARD; ALASKA; USA</t>
  </si>
  <si>
    <t>This paper describes a unique record of glacier flow instability for East Greenland during the Little Ice Age. Trace metal analysis of sediment cores collected during 1998 from the Noret Inlet in the Mesters Vig area of East Greenland shows two peaks in the molybdenum (Me) record at 495+/-40 years Bp and 95+/-2 years Bp. This is notable as there is no molybdenum mineralization in the geology of the Noret Inlet catchment area. Molybdenum is found, however, in the drainage basin of Mesters Vig Inlet, just to the south of the Noret Inlet. The molybdenum record in the Noret core provides a long-term surge record for the Ostre Gletscher, a large surge-type glacier in the Werner Bjerge that drains into Mesters Vig Inlet. The two molybdenum peaks indicate surge termination for the glacier, indicating a surge recurrence interval of around 400 years.</t>
  </si>
  <si>
    <t>British Antarctic Survey, NERC, Div Phys Sci, Cambridge CB3 0ET, England</t>
  </si>
  <si>
    <t>British Antarctic Survey, NERC, Div Phys Sci, Madingley Rd, Cambridge CB3 0ET, England.</t>
  </si>
  <si>
    <t>jwoo@bas.ac.uk</t>
  </si>
  <si>
    <t>Woodward, John/I-1046-2013; Bennike, Ole/G-7070-2018</t>
  </si>
  <si>
    <t>Woodward, John/0000-0002-4980-4080; Bennike, Ole/0000-0002-5486-9946</t>
  </si>
  <si>
    <t>10.1144/GSL.SP.2002.203.01.19</t>
  </si>
  <si>
    <t>WOS:000184435800019</t>
  </si>
  <si>
    <t>Arcone, SA</t>
  </si>
  <si>
    <t>Koppenjan, SK; Lee, H</t>
  </si>
  <si>
    <t>Stratigraphic profiling of antarctic firn with 400-MHz GPR at 1500 ns</t>
  </si>
  <si>
    <t>GPR 2002: NINTH INTERNATIONAL CONFERENCE ON GROUND PENETRATING RADAR</t>
  </si>
  <si>
    <t>9th International Conference on Ground Penetrating Radar (GPR 2002)</t>
  </si>
  <si>
    <t>APR 29-MAY 02, 2002</t>
  </si>
  <si>
    <t>SANTA BARBARA, CA</t>
  </si>
  <si>
    <t>Antarctica; firn; radar</t>
  </si>
  <si>
    <t>The firn regime of Antarctica extends 60-100 m deep and contains at least the last 200 years of snow deposition. As part of a program to study the influence of industrialization on antarctic climate and glacial mass balance, I have acquired about 3000 km of profiles of the stratigraphy of this regime in West Antarctica using 400-MHz GPR. Here, sections of these deeper profiles are presented to show the performance that can be achieved with commercial-grade radar in polar firn and to show some of the horizon characteristics. The profiles show 1) distinct reflections that are probably thin layer responses, 2) deepest penetration to about 130 m, 3) long-distance horizon continuity (as great as 500 km), and 4) folding caused by tectonic compression. The continuity, the increase of reflection strength with depth, and the slow variation of strength with distance suggest that the reflections are caused by chemical impurities and not density contrasts. Continuity will improve with faster trace acquisition. Resolution may not improve at higher frequencies because horizons may blur from antenna motion and horizon irregularities.</t>
  </si>
  <si>
    <t>US Army Cold Regions Res &amp; Engn Lab, Hanover, NH 03755 USA</t>
  </si>
  <si>
    <t>United States Department of Defense; United States Army; U.S. Army Corps of Engineers; U.S. Army Engineer Research &amp; Development Center (ERDC); Cold Regions Research &amp; Engineering Laboratory (CRREL)</t>
  </si>
  <si>
    <t>Arcone, SA (corresponding author), US Army Cold Regions Res &amp; Engn Lab, 72 Lyme Rd, Hanover, NH 03755 USA.</t>
  </si>
  <si>
    <t>0-8194-4522-3</t>
  </si>
  <si>
    <t>10.1117/12.462269</t>
  </si>
  <si>
    <t>Computer Science, Artificial Intelligence; Computer Science, Interdisciplinary Applications; Remote Sensing; Imaging Science &amp; Photographic Technology</t>
  </si>
  <si>
    <t>Computer Science; Remote Sensing; Imaging Science &amp; Photographic Technology</t>
  </si>
  <si>
    <t>BU70E</t>
  </si>
  <si>
    <t>WOS:000176734400078</t>
  </si>
  <si>
    <t>Dickey, JO</t>
  </si>
  <si>
    <t>Sideris, MG</t>
  </si>
  <si>
    <t>Time variable gravity: An emerging frontier in interdisciplinary geodesy</t>
  </si>
  <si>
    <t>GRAVITY GEOID AND GEODYNAMICS 2000</t>
  </si>
  <si>
    <t>International Association of Geodesy Symposia</t>
  </si>
  <si>
    <t>IAG International Symposium on Gravity, Geoid and Geodynamics (GGG 2000)</t>
  </si>
  <si>
    <t>JUL 31-AUG 04, 2000</t>
  </si>
  <si>
    <t>BANFF, CANADA</t>
  </si>
  <si>
    <t>gravitational field; temporal variations of the potential; geodynamics; solid-Earth processes; sea level and glaciology; ocean dynamics; ocean bottom pressure; hydrology; water storage; and geodetic infrastructure</t>
  </si>
  <si>
    <t>The interdisciplinary potential of gravity is stressed with special emphasis on the synergistic use of gravity with other data types. Satellite gravity measurements expected from GRACE and CHAMP will provide unprecedented views of the Earth's gravity field and its changes with time. These measurements will be complementary with those of GOCE, which will provide unprecedented determination of the high-resolution static field. Gravity changes directly reflect changes in the masses of the ocean (thus allowing the separation of steric (heat induced) and non-steric contributions to sea level rise), the Greenland and Antarctic ice sheets, and the water stored in the continents. Not only can measurements of those changes provide a truly global integrated view of the Earth; they have, at the same time, sufficient spatial resolution to aid in the study of individual regions of the Earth. These data should yield information on water cycling previously unobtainable and be useful to both fundamental studies of the hydrologic cycle and practical assessments of water availability and distribution. Together with complementary geophysical data, satellite gravity data represent a new frontier in studies of the Earth and its fluid envelope.</t>
  </si>
  <si>
    <t>jean.o.dickey@jpl.nasa.gov</t>
  </si>
  <si>
    <t>0939-9585</t>
  </si>
  <si>
    <t>3-540-42469-5</t>
  </si>
  <si>
    <t>IAG SYMP</t>
  </si>
  <si>
    <t>BT80C</t>
  </si>
  <si>
    <t>WOS:000174088700001</t>
  </si>
  <si>
    <t>Schön, S; Kutterer, H; Mayer, M; Heck, B</t>
  </si>
  <si>
    <t>A study on the transfer of the ITRF datum to a GPS network in Antarctica</t>
  </si>
  <si>
    <t>INTERNATIONAL ASSOCIATION OF GEODESY SYMPOSIA</t>
  </si>
  <si>
    <t>Reference Frame Noise; datum parameters; spectral analysis</t>
  </si>
  <si>
    <t>The Reference Network Antarctica represents a highly precise densification of the International Terrestrial Reference Frame (ITRF) in the Antarctic region. It was established within two bundle projects sponsored by the Ministery of Science and Research of Germany (BMBF) under the auspices of the Scientific Committee on Antarctic Research (SCAR). Several German scientific institutions including the Geodetic Institute of the University of Karlsruhe contributed to this network. This result is based on simultaneous GPS observations in the Antarctic summers 1994/95 and 1997/98. The ITRF96 has been introduced as datum information via several ITRF sites in Antarctica and on neighbouring continents. For the practical use of the ITRF it is essential to consider the compability of the SCAR98 with the ITRF96 network. Therefore several aspects like, e.g., correlations between the datum parameters or their spectral characteristics according to eigenvalue decompositions will be presented. In addition the difference between the GPS network geometry noise and the Reference Frame Noise will be discussed.</t>
  </si>
  <si>
    <t>Univ Karlsruhe TH, Geodet Inst, D-76128 Karlsruhe, Germany</t>
  </si>
  <si>
    <t>Helmholtz Association; Karlsruhe Institute of Technology</t>
  </si>
  <si>
    <t>Schön, S (corresponding author), Univ Karlsruhe TH, Geodet Inst, Englerstr 7, D-76128 Karlsruhe, Germany.</t>
  </si>
  <si>
    <t>WOS:000174088700005</t>
  </si>
  <si>
    <t>Sproule, DM; Kearsley, AHW; Higgins, MB</t>
  </si>
  <si>
    <t>Impact of BRAGS'99 airborne gravimetric data on geoid computations in Australia, and possibilities for utilisation of bathymetric information.</t>
  </si>
  <si>
    <t>airborne gravimetry; geoid computation; bathymetry; gravity prediction</t>
  </si>
  <si>
    <t>COMPENSATION; MODEL</t>
  </si>
  <si>
    <t>There are recognised deficiencies in the gravity data around the Australian coastline, which can best be repaired by the use of airborne gravimetry. The development of an Australian capacity in airborne gravimetry will not only allow improvements in local geoid modelling; but also will enable gravimetric measurements to be undertaken in the Antarctic region, contributing to local and global geoid modelling, and to the international scientific effort in the region. This paper describes the airborne gravimetric mission flown in the Barrier Reef region in October 1999. The mission was flown onboard the survey plane of the Laser Airborne Depth Sounder unit of the Royal Australian Navy during one of its routine bathymetric survey campaigns. The gravity data derived from this mission is used in local geoid determinations, and tested to determine what impact this new data has upon the precision of the derived geoid. The gravimetric and bathymetric data obtained during this mission are used to investigate the validity of models for predicting gravity anomalies from bathymetry. Extensive bathymetric charting exists for the Australian coastline, and if sufficient additional constraints are introduced, this data source may prove useful for predicting gravity anomalies in unsurveyed areas. This paper investigates the feasibility of such an approach.</t>
  </si>
  <si>
    <t>Univ New S Wales, Sch Geomat Engn, Sydney, NSW 2052, Australia</t>
  </si>
  <si>
    <t>Sproule, DM (corresponding author), Univ New S Wales, Sch Geomat Engn, Sydney, NSW 2052, Australia.</t>
  </si>
  <si>
    <t>WOS:000174088700038</t>
  </si>
  <si>
    <t>Cox, CM; Klosko, SM; Chao, BF</t>
  </si>
  <si>
    <t>Changes in ice-mass balances inferred from time variations of the geopotential observed through SLR and DORIS tracking</t>
  </si>
  <si>
    <t>time variable gravity; postglacial rebound; satellite laser tracking</t>
  </si>
  <si>
    <t>EARTHS ROTATION; SEA-LEVEL; GLACIERS; FIELD</t>
  </si>
  <si>
    <t>Analyses of Satellite Laser Ranging (SLR) tracking data have yielded estimates of rates for the low-degree zonal harmonics of the geopotential up through (J) over dot(6). Combined with observed changes in the Earth's rotation pole and global sea level rise, these observations provide a powerful constraint on aggregate mass transport within the Earth's systems. Inverse solutions, where these observed geodetic rates are used to constrain geophysical models, can yield estimates of the mantle viscosity contrast affecting postglacial rebound and ice sheet mass balance rates. In order to obtain the most accurate estimates, such analysis requires accounting for as many geophysical and environmental signals as possible that are contained in these observed trends. Analysis to date indicates that both the Antarctica and Greenland ice sheets are nearly in mass balance when the forward models are used without any accommodation for correction terms. These results are only somewhat dependent on the zonal rate solution used, despite the differences between these solutions. The ice mass balance results benefit from improved rate solutions; in particular, the Antarctic ice mass accumulation rate estimate will benefit from better separation of (J) over dot(3) and (J) overdot(5). The secular zonal rate solution can be improved using additional data. SLR and DORIS tracking of TOPEX/POSEIDON have been combined with the SLR tracking of LAGEOS, LAGEOS-2, Starlette, Stella, and Ajisai previously used to estimate the geopotential rates. Estimates of scale corrections to the forward models are also used to gain insight into the relative performance of these models and improve the estimate of the ice balances.</t>
  </si>
  <si>
    <t>NASA, Goddard Space Flight Ctr, Raytheon Tech Serv Corp, Geodynam Dept, Greenbelt, MD 20771 USA</t>
  </si>
  <si>
    <t>Cox, CM (corresponding author), NASA, Goddard Space Flight Ctr, Raytheon Tech Serv Corp, Geodynam Dept, Code 661,Mailstop 926-0, Greenbelt, MD 20771 USA.</t>
  </si>
  <si>
    <t>WOS:000174088700059</t>
  </si>
  <si>
    <t>Ivins, ER; Wu, XP; Raymond, CA; Yoder, CF; James, TS</t>
  </si>
  <si>
    <t>Temporal geoid of a rebounding Antarctica and potential measurement by the GRACE and GOCE satellites</t>
  </si>
  <si>
    <t>satellite gravity; Antarctic glacial isostasy; mantle viscosity</t>
  </si>
  <si>
    <t>LATE PLEISTOCENE; MASS-BALANCE; ICE; VARIABILITY; INVERSION; GRAVITY; MANTLE</t>
  </si>
  <si>
    <t>We model the present-day time-dependent gravity field of Antarctica driven by solid earth rebound response to deglaciation of a more extensive continental ice cover at Last Glacial Maximum (22-15 kyr BP). Among the various global components of late-Pleistocene and Holocene eustatic sea level rise, Antarctica's contribution has been most contentious. Using new geological inferences provided by marine sediment cores and ice-volcanic deposits within the Antarctic continental interior, we compute predictive maps of geoid secular variation and uplift. Competing forward models produce quite distinguishable signatures in terms of the resolution and accuracy of the GRACE and GOCE satellite missions. Both the timing and amplitude of the ice sheet paleotopography and the structure of mantle viscosity are crucial inputs to the predicted temporal gravity field in Antarctica. In general, our new predictions indicate that the rebound component of Antarctica's secularly varying geoid is at the 0.1 to 0.6 mm/yr level. These estimates may err on the conservative side if the ice sheet has been slowly deglaciating during the last two thousand years.</t>
  </si>
  <si>
    <t>James, Thomas/D-9301-2013; Ivins, Erik R/C-2416-2011</t>
  </si>
  <si>
    <t>James, Thomas/0000-0001-7321-047X;</t>
  </si>
  <si>
    <t>WOS:000174088700060</t>
  </si>
  <si>
    <t>Trupin, AS; Shum, CK</t>
  </si>
  <si>
    <t>Determination of mass balance of polar ice from gravity</t>
  </si>
  <si>
    <t>satellite gravity; altimetry; mantle viscosity</t>
  </si>
  <si>
    <t>GREENLAND</t>
  </si>
  <si>
    <t>We use satellite solutions to the low degree zonal coefficients of the Earth's gravitational potential, j(2) through j(7), to reveal large scale features of rates of thickness change of the polar ice sheets, and the lower mantle viscosity. The polar ice sheets may each be divided into two regions, whose change in thickness and shape were adjusted to predict gravity that agrees well with observation. If the postglacial rebound model of Han and Wahr [1995] is used, the predicted viscosity is 1 x 10(22) Pa-s, predicted sea level rise from Antarctica is 0.1 +/- 0.8 mm/yr, and the sea level rise from Greenland is 0.4 +/- 0.3 mm/yr. The total meltwater from both ice sheets is 0.5 +/- 1.1 mm/yr. We also set the thickness change over 63 per cent of the grounded Antarctic ice sheet equal to the ERS satellite altimeter measurements and compute the variation of thickness change for Greenland. This can be done with j(2) through j(5). The incomplete coverage of Antarctica makes the determination of lower mantle viscosity uncertain, but, if we assume this viscosity 1 x 10(22) Pa-s, then the predicted combined sea level rise remains 0.5 +/- 1.0 mm/yr.</t>
  </si>
  <si>
    <t>Oregon Inst Technol, Dept Nat Sci, Klamath Falls, OR 97601 USA</t>
  </si>
  <si>
    <t>Trupin, AS (corresponding author), Oregon Inst Technol, Dept Nat Sci, Klamath Falls, OR 97601 USA.</t>
  </si>
  <si>
    <t>WOS:000174088700061</t>
  </si>
  <si>
    <t>Capra, A; Gandolfi, S; Mancini, F; Sarti, P; Vittdari, L</t>
  </si>
  <si>
    <t>VLNDEF project: Geodetic contribution to geodynamics study of Victoria land, Antarctica.</t>
  </si>
  <si>
    <t>Antarctica; GPS network; static survey; geodynamics</t>
  </si>
  <si>
    <t>During 1999 - 2000 Italian expedition in Antarctica started a new Geodetic Program with the aim to extend Northward and Southward the existing GPS geodetic network for the crustal deformation control of northern Victoria Land. The network is named VLNDEF (Victoria Land Network for DEFormationn control). A network of 20 stations, spanning an area of 700 km northward and 300 km westward, with an average distance of 70-80 km, and covering the area from TNB to Pacific Ocean Oates Coast was established and surveyed. Because of some rather long baselines, the session duration was not less than 40 hours and network stations were connected to the GPS permanent stations of Terra Nova Bay Station (TNB1), McMurdo (MCM4) and Dumont D'Urville (DDU). VLNDEF project was made within the activity of GIANT (Geodetic Infrastructure of Antarctica) SCAR (Scientific Committee on Antarctic Research) Program. GIANT is being developed for several years with the goal to study the infrastructure and the geodynamics of Antarctica continent by the analysis of different geophysical and geodetic data, GPS (SCAR GPS Epoch campaigns) and permanent tracking stations, Gravimetry, VLBI, Remote Sensing and tide gauges. Moreover the geodetic activities are coordinates and finalised within the actions of ANTEC (ANTarctic NeoTECtonics) SCAR Group of Specialists.</t>
  </si>
  <si>
    <t>Politecn Bari, Fac Engn, I-74100 Taranto, Italy</t>
  </si>
  <si>
    <t>Politecnico di Bari</t>
  </si>
  <si>
    <t>Capra, A (corresponding author), Politecn Bari, Fac Engn, Viale Turismo 8, I-74100 Taranto, Italy.</t>
  </si>
  <si>
    <t>gandolfi, stefano/A-4892-2016; Mancini, Francesco/L-2937-2015; Sarti, Pierguido/D-2391-2009; Capra, Alessandro/L-9743-2015</t>
  </si>
  <si>
    <t>Mancini, Francesco/0000-0002-8553-345X; Capra, Alessandro/0000-0001-6660-3291</t>
  </si>
  <si>
    <t>WOS:000174088700063</t>
  </si>
  <si>
    <t>Mottram, DS; Mottram, HR</t>
  </si>
  <si>
    <t>Reineccius, GA; Reineccius, TA</t>
  </si>
  <si>
    <t>An overview of the contribution of sulfur-containing compounds to the aroma in heated foods</t>
  </si>
  <si>
    <t>HETEROATOMIC AROMA COMPOUNDS</t>
  </si>
  <si>
    <t>ACS Symposium Series</t>
  </si>
  <si>
    <t>Symposium on Heteroatomic Aroma Compounds</t>
  </si>
  <si>
    <t>WASHINGTON, D.C.</t>
  </si>
  <si>
    <t>VOLATILE COMPOUNDS; HYDROGEN-SULFIDE; FLAVOR COMPOUNDS; COOKED BEEF; ANTARCTIC KRILLS; THIAMIN ODOR; COMPONENTS; CYSTEINE; IDENTIFICATION; RIBOSE</t>
  </si>
  <si>
    <t>Many of the most potent odorants found in foods contain sulfur. The exceptionally low odor threshold values of many of these compounds mean that only trace quantities are necessary to make a significant contribution to flavor. Heterocyclic sulfur compounds, including thiophenes, thiophenones, dithiolanes, trithiolanes, trithianes, thiazoles, and thienothiophenes, are typical products of thermal reactions in food. Non-heterocyclic sulfur compounds, such as thiols, sulfides and disulfides are also important to the aroma of heated foods. The main source of sulfur in the reactions that lead to these compounds is the amino acid, cysteine. Cysteine degradation, in the Maillard reaction or through hydrolysis, produces hydrogen sulfide, which is a vital reactant for the production of sulfur-containing aroma compounds. Other important sulfur-containing precursors are methionine and thiamin.</t>
  </si>
  <si>
    <t>Univ Reading, Dept Food Sci &amp; Technol, Reading RG6 6AP, Berks, England; Univ Bristol, Sch Chem, Bristol BS8 1TS, Avon, England</t>
  </si>
  <si>
    <t>University of Reading; University of Bristol</t>
  </si>
  <si>
    <t>Mottram, DS (corresponding author), Univ Reading, Dept Food Sci &amp; Technol, Reading RG6 6AP, Berks, England.</t>
  </si>
  <si>
    <t>1155 SIXTEENTH ST NW, WASHINGTON, DC 20036 USA</t>
  </si>
  <si>
    <t>0097-6156</t>
  </si>
  <si>
    <t>0-8412-3777-8</t>
  </si>
  <si>
    <t>ACS SYM SER</t>
  </si>
  <si>
    <t>ACS Symp. Ser.</t>
  </si>
  <si>
    <t>Chemistry, Applied; Chemistry, Multidisciplinary; Food Science &amp; Technology</t>
  </si>
  <si>
    <t>Chemistry; Food Science &amp; Technology</t>
  </si>
  <si>
    <t>BW16M</t>
  </si>
  <si>
    <t>WOS:000181054000004</t>
  </si>
  <si>
    <t>Fisher, DA</t>
  </si>
  <si>
    <t>High-resolution multiproxy climatic records from ice cores, tree-rings, corals and documentary sources using eigenvector techniques and maps: assessment of recovered signal and errors</t>
  </si>
  <si>
    <t>HOLOCENE</t>
  </si>
  <si>
    <t>Palaeoclimate; ice cores; tree-rings; dendrochronology; corals; melt layers; oxygen isotopes; eigenvectors; multiproxy methods; empirical orthogonal function (EOF) techniques</t>
  </si>
  <si>
    <t>ELLESMERE-ISLAND NWT; TEMPERATURE PATTERNS; ANTARCTIC PENINSULA; SUMMER TEMPERATURE; LAST MILLENNIUM; ISOTOPE RECORD; NORTH-AMERICA; RECONSTRUCTION; VARIABILITY; CANADA</t>
  </si>
  <si>
    <t>Palaeotemperature sensitive series from tree-rings, ice cores, corals and documentary sources are combined to produce palaeo, summer-temperature reconstructions (AD 1970-1761) and geographical eigenvector (EOF) maps in both hemispheres. They are compared favourably to those of existing summer-temperature average series. There are 51 palaeoseries in the Northern Hemisphere (mostly north of 40degrees N) and 16 series in the Southern Hemisphere. The statistics and significance of the palaeoreconstructions are examined by: ( 1) finding the correlation coefficient (palaeo to measured) as a function of the number and geographical distribution of the palaeo series; (2) developing and running a multiproxy model that generates pseudo series containing a sinal and the same tapes and amounts of noise found in the various real palaeo series. The model reproduces the measured correlation coefficients and the eigenvector's, (EOF) explained variances as functions of the number of sites. About 77% of the signal variance can be recovered;with 5 1 well-distributed palaeo series and about 90% with greater than 100 series. The 1st eigenvector (EOF 1) component maps in the Northern and Southern Hemispheres are fundamentally different. with the Northern having much less longitudinal variation than the Southern, This means (statistically) that simple hemispheric averages of summer temperature have more meaning in the Northern Hemisphere than in the Southern. Eden though the various palaeoseries have different spectral biases. noise types and amounts, they were all used together and the common signal extracted, The results of this work strongly suggest that the multiproxy method is valid and that with enough sites most of the summer signal and geographical pattern can be extracted.</t>
  </si>
  <si>
    <t>Geol Survey Canada, Nat Resources Canada, Terrain Sci Div, Ottawa, ON K1A 0E8, Canada</t>
  </si>
  <si>
    <t>Geol Survey Canada, Nat Resources Canada, Terrain Sci Div, 601 Booth St, Ottawa, ON K1A 0E8, Canada.</t>
  </si>
  <si>
    <t>fisher@nrcan.gc.ca</t>
  </si>
  <si>
    <t>SAGE PUBLICATIONS LTD</t>
  </si>
  <si>
    <t>1 OLIVERS YARD, 55 CITY ROAD, LONDON EC1Y 1SP, ENGLAND</t>
  </si>
  <si>
    <t>0959-6836</t>
  </si>
  <si>
    <t>1477-0911</t>
  </si>
  <si>
    <t>Holocene</t>
  </si>
  <si>
    <t>10.1191/0959683602hl546rp</t>
  </si>
  <si>
    <t>569CX</t>
  </si>
  <si>
    <t>WOS:000176583900003</t>
  </si>
  <si>
    <t>Warren, JD; Stanton, TK; McGehee, DE; Chu, DZ</t>
  </si>
  <si>
    <t>Effect of animal orientation on acoustic estimates of zooplankton properties</t>
  </si>
  <si>
    <t>IEEE JOURNAL OF OCEANIC ENGINEERING</t>
  </si>
  <si>
    <t>acoustic scattering; animal orientation; zooplankton</t>
  </si>
  <si>
    <t>LIVE INDIVIDUAL ZOOPLANKTON; SOUND-SCATTERING; ANTARCTIC KRILL; GEORGES BANK; TONE BURSTS; BACKSCATTERING; EUPHAUSIIDS; PTEROPOD; BEHAVIOR; 120-KHZ</t>
  </si>
  <si>
    <t>It is well known that the behavior of zooplankton and, in particular, their orientation distribution dramatically affects the level of backscattered acoustic energy. As a result, interpretation of acoustic survey data in the ocean is subject to error. In order to quantify these effects, laboratory data from two important classes of animals were collected. The data involved broad-band (350-650 kHz) acoustic signals insonifying individual animals whose orientation was varied over the range 0degrees-360degrees in 1degrees increments. The animals were from two major anatomical groups: fluid-like (decapod shrimp; Palaemonetes vulgaris) and elastic-shelled (periwinkles; Littorina littorea). The data were analyzed both in the time domain (with pulse compression processing) and the frequency domain. Averages of the laboratory data over different orientation distributions illustrate the variability in average target strength that can be expected in the ocean environment. The average target strength of the shrimp varied by 3 dB when averaged over orientation distributions centered around broadside and end-on incidence. In addition, size estimates from pulse compression processing of the broad-band echoes were made for various orientation distributions for both the shrimp and periwinkles. These results show the necessity of animal orientation information for the proper interpretation of acoustic backscatter data.</t>
  </si>
  <si>
    <t>Woods Hole Oceanog Inst, Dept Appl Ocean Phys &amp; Engn, Woods Hole, MA 02543 USA</t>
  </si>
  <si>
    <t>Warren, JD (corresponding author), Woods Hole Oceanog Inst, Dept Appl Ocean Phys &amp; Engn, Woods Hole, MA 02543 USA.</t>
  </si>
  <si>
    <t>Warren, Joseph/Y-4078-2019; Chu, Dezhang/L-7004-2015</t>
  </si>
  <si>
    <t>0364-9059</t>
  </si>
  <si>
    <t>IEEE J OCEANIC ENG</t>
  </si>
  <si>
    <t>IEEE J. Ocean. Eng.</t>
  </si>
  <si>
    <t>PII S0364-9059(02)00652-0</t>
  </si>
  <si>
    <t>10.1109/48.989899</t>
  </si>
  <si>
    <t>Engineering, Civil; Engineering, Ocean; Engineering, Electrical &amp; Electronic; Oceanography</t>
  </si>
  <si>
    <t>Engineering; Oceanography</t>
  </si>
  <si>
    <t>531WJ</t>
  </si>
  <si>
    <t>WOS:000174440000014</t>
  </si>
  <si>
    <t>Csatho, B; Schenk, T; Shin, SW; van der Veen, CJ</t>
  </si>
  <si>
    <t>IEEE; IEEE; IEEE</t>
  </si>
  <si>
    <t>Investigating long-term behavior of Greenland outlet glaciers using high resolution satellite imagery</t>
  </si>
  <si>
    <t>IGARSS 2002: IEEE INTERNATIONAL GEOSCIENCE AND REMOTE SENSING SYMPOSIUM AND 24TH CANADIAN SYMPOSIUM ON REMOTE SENSING, VOLS I-VI, PROCEEDINGS: REMOTE SENSING: INTEGRATING OUR VIEW OF THE PLANET</t>
  </si>
  <si>
    <t>IEEE International Symposium on Geoscience and Remote Sensing IGARSS</t>
  </si>
  <si>
    <t>IEEE International Geoscience and Remote Sensing Symposium (IGARSS 2002)/24th Canadian Symposium on Remote Sensing</t>
  </si>
  <si>
    <t>JUN 24-28, 2002</t>
  </si>
  <si>
    <t>TORONTO, CANADA</t>
  </si>
  <si>
    <t>ANTARCTIC ICE-SHEET; BALANCE</t>
  </si>
  <si>
    <t>High resolution declassified CORONA satellite photographs from the 1960s are used to establish baseline velocities for a fast flowing outlet glacier in Greenland. The mathematical model of the camera was developed and position and attitude parameters were estimated using GCPs. To illustrate the procedure, ice velocities were derived from CORONA and Landsat-7 images over the Kangerdlugssuaq glacier in SE Greenland. Time series of velocity changes indicate significant increase in ice flow velocity during the last decade, propagating upstream from the calving front.</t>
  </si>
  <si>
    <t>Ohio State Univ, Byrd Polar Res Ctr, Columbus, OH 43210 USA</t>
  </si>
  <si>
    <t>csatho.1@osu.edu; schenk.2@osu.edu; shin.111@osu.edu; vanderveen@osu.edu</t>
  </si>
  <si>
    <t>Csatho, Beata/KGK-9301-2024</t>
  </si>
  <si>
    <t>2153-6996</t>
  </si>
  <si>
    <t>0-7803-7536-X</t>
  </si>
  <si>
    <t>INT GEOSCI REMOTE SE</t>
  </si>
  <si>
    <t>Computer Science, Artificial Intelligence; Geosciences, Multidisciplinary; Instruments &amp; Instrumentation; Remote Sensing; Imaging Science &amp; Photographic Technology</t>
  </si>
  <si>
    <t>Computer Science; Geology; Instruments &amp; Instrumentation; Remote Sensing; Imaging Science &amp; Photographic Technology</t>
  </si>
  <si>
    <t>BV48S</t>
  </si>
  <si>
    <t>WOS:000179116800343</t>
  </si>
  <si>
    <t>Cheng, X; Zhou, CX; Tan, QL; Xu, GH; Shao, Y</t>
  </si>
  <si>
    <t>Interferometry SAR in Antarctic Grove Mountains</t>
  </si>
  <si>
    <t>IEEE International Symposium on Geoscience and Remote Sensing (IGARSS)</t>
  </si>
  <si>
    <t>interferometry SAR; Grove Mountains; Antarctic; DEM</t>
  </si>
  <si>
    <t>Grove Mountains locates to the southwest of Princess Elizabeth Land, inland areas of east Antarctica. Field Work in Grove Mountains is very difficult. Interferometry SAR is a powerful tool in DEM generation, vertical change detection and determining the velocities and directions of ice-stream. After the filed GPS/RTK surveying work in Grove Mountains during the 1999/2000 summer season, we got the topographical map. Further research about Grove Mountains is ongoing. With the tandem radar image of ERS-1/2 in 1996.2, we generated DEM of this region.</t>
  </si>
  <si>
    <t>Chinese Acad Sci, Inst Remote Sensing Applicat, Lab Remote Sensing Informat Sci, Beijing 100101, Peoples R China</t>
  </si>
  <si>
    <t>Chinese Academy of Sciences</t>
  </si>
  <si>
    <t>Cheng, X (corresponding author), Chinese Acad Sci, Inst Remote Sensing Applicat, Lab Remote Sensing Informat Sci, POB 9718, Beijing 100101, Peoples R China.</t>
  </si>
  <si>
    <t>WOS:000179116800684</t>
  </si>
  <si>
    <t>Li, SS; Zhou, XB</t>
  </si>
  <si>
    <t>Deriving reciprocal kernel functional expression of antarctic sea ice surface BRDF from field measurements</t>
  </si>
  <si>
    <t>REFLECTANCE</t>
  </si>
  <si>
    <t>We investigate derivation of kernel functional expression of Antarctic sea ice surface BRDF using field measurements. Two new methods we developed recently are used to expand the scope and enhance the use of field albedo and reflectance measurements. The first normalizes, among ice stations of the same ice type, the BRDF difference caused by slight differences in the physical properties of the ice cover. The second method derives direct beam spectral albedo from hemispherical directional spectral reflectance measured under overcast skies using the reciprocity between them. The derived direct beam spectral albedo estimates cover the full range of solar zenith angles. We combine the resulting data sets together to determine the coefficients of the BRDF kernel functions through stepwise linear regression. The derived BRDF kernel functional expression is representative of the ice type of interest, and is optimized in the sense that the ordinary limitation of narrow solar zenith angle range no longer exists. The resulting BRDF expression will contribute to improving derivation of sea ice surface albedo from remote sensing measurements.</t>
  </si>
  <si>
    <t>Univ Alaska, Inst Geophys, Fairbanks, AK 99775 USA</t>
  </si>
  <si>
    <t>University of Alaska System; University of Alaska Fairbanks</t>
  </si>
  <si>
    <t>Univ Alaska, Inst Geophys, 903 Koyukuk Dr,POB 757320, Fairbanks, AK 99775 USA.</t>
  </si>
  <si>
    <t>sli@asf.alaska.edu</t>
  </si>
  <si>
    <t>WOS:000179116800709</t>
  </si>
  <si>
    <t>Ballantyne, J; Long, DG</t>
  </si>
  <si>
    <t>A multidecadal study of the number of antarctic icebergs using scatterometer data</t>
  </si>
  <si>
    <t>Tabular Antarctic icebergs are regularly formed by the separation,of massive sections of ice from ice shelves and glaciers. The National Ice Center (NIC) uses a variety of satellite sensors to track large Antarctic icebergs and reports iceberg positions. According to the NIC database, the number of large Antarctic icebergs has been increasing in recent years. A long term analysis of Antarctic iceberg activity based on scatterometer and radiometer data is presented. Our analysis suggests this increase is largely due to improved resources and technological advancements for iceberg tracking. Recent calving events may represent natural variability in iceberg activity. This study identifies some of the advantages and limitations of tracking icebergs using scatterometer data.</t>
  </si>
  <si>
    <t>Brigham Young Univ, Microwave Earth Remote Sensing Lab, Provo, UT 84602 USA</t>
  </si>
  <si>
    <t>Brigham Young University</t>
  </si>
  <si>
    <t>Ballantyne, J (corresponding author), Brigham Young Univ, Microwave Earth Remote Sensing Lab, 459 Clyde Bldg, Provo, UT 84602 USA.</t>
  </si>
  <si>
    <t>WOS:000179116800985</t>
  </si>
  <si>
    <t>Gauthier, E; Budkewitsch, P; D'Iorio, M; de Miranda, FP</t>
  </si>
  <si>
    <t>Left- and right-looking RADARSAT-2 data for mosaics of ancient supercontinents</t>
  </si>
  <si>
    <t>The Pangaea supercontinent began its break-up some 200 Ma ago, during which time the ancient cratons of West Africa and San Francisco-Congo of Gondwana were rifted apart. These older parts of the continental crust now reside in the African and South American Shields, but share a common geological past. Geological maps of reconstructed Pangaea aid geologists to understand the tectonic history of the evolving Earth, the global distribution of rock units and ore deposits. It follows that radar and other remotely sensed images of Earth can be mosaicked in the same fashion to provide supplementary information in support of such investigation. In our radar mosaic for part of Gondwana, left-looking RADARSAT-1 data of west Africa acquired on ascending passes during the Antarctic Mapping Mission and normal mode (right-looking) data of South America from descending passes were first seamed together separately. The two continental image maps were then rotated into their pre-breakup configuration to create a radar mosaic with a relatively consistent westward radar look. This critical aspect of the mosaic would not be possible from a SAR system without left- and right-looking capability. A consistent look direction is of great importance when landform interpretations are made. The left and right pointing of the RADARSAT-2 antenna will enable routine data collection of this kind for similar studies.</t>
  </si>
  <si>
    <t>MIR Teledetect Inc, Ottawa, ON K1A 0Y7, Canada</t>
  </si>
  <si>
    <t>Gauthier, E (corresponding author), 110 Barre St,Suite 226, Longueuil, PQ J4K 1A3, Canada.</t>
  </si>
  <si>
    <t>WOS:000179116801022</t>
  </si>
  <si>
    <t>Pavolonis, MJ; Key, JR; Wang, XJ</t>
  </si>
  <si>
    <t>Antarctic cloud radiative forcing at the surface estimated from the ISCCP D2 and AVHRR polar pathfinder data sets, 1985-1993</t>
  </si>
  <si>
    <t>Surface cloud radiative forcing was calculated using cloud and surface properties from the International Satellite Cloud Climatology Project (ISCCP) D-series product as input into a radiative transfer model. In addition, the newly extended AVHRR Polar Pathfinder (APP) data set, which includes surface cloud radiative forcing, was used in this 9-year (1985-1993) study. Spatial and temporal trends in the surface net cloud forcing for the Antarctic were examined in both the ISCCP-derived and APP data sets. Monthly means of the ISCCP-derived net cloud radiative forcing at the surface were found to be greater than zero all year-round poleward of 80degreesS. The APP net cloud forcing was found to exceed 10 W/m(2) south of 80degreesS every month of the year. The differences in the net cloud forcing between the two data sets largely occurs because of differing cloud amounts. Both the ISCCP and APP net surface fluxes were compared to fluxes measured at Neumayer Station. Errors in the monthly mean net all-wave surface flux of up to 50 W/m(2) were found for the ISCCP-derived product. The APP product errors were found not to exceed 13 W/m(2) at the monthly time scale.</t>
  </si>
  <si>
    <t>Univ Wisconsin, Cooperat Inst Meteorol Satellite Studies, Madison, WI 53706 USA</t>
  </si>
  <si>
    <t>Pavolonis, MJ (corresponding author), Univ Wisconsin, Cooperat Inst Meteorol Satellite Studies, 1225 W Dayton St, Madison, WI 53706 USA.</t>
  </si>
  <si>
    <t>Key, Jeffrey R./AAB-7248-2020; Pavolonis, Mike/F-5618-2010</t>
  </si>
  <si>
    <t>Pavolonis, Mike/0000-0001-5822-219X</t>
  </si>
  <si>
    <t>WOS:000179116801051</t>
  </si>
  <si>
    <t>Rall, JAR; Cavanaugh, J; Campbell, J; Abshire, JB; Spinhirne, JD</t>
  </si>
  <si>
    <t>Automated geophysical observatory (AGO) lidar - Post Antarctic deployment performance</t>
  </si>
  <si>
    <t>A ground based, autonomous, low-power atmospheric lidar instrument developed at NASA Goddard Space Flight Center was recently returned from an extended period on the Antarctic polar plateau. We report on the pre and post deployment performance of AGO Lidar, compare the instrument performance with lidar models, and compare results with with the anticipated performance of the new Automatic Weather Station (AWS) Lidar.</t>
  </si>
  <si>
    <t>NASA, Goddard Space Flight Ctr, Laser Remote Sensing Branch, Greenbelt, MD 20771 USA</t>
  </si>
  <si>
    <t>Rall, JAR (corresponding author), NASA, Goddard Space Flight Ctr, Laser Remote Sensing Branch, Mail Code 924, Greenbelt, MD 20771 USA.</t>
  </si>
  <si>
    <t>Abshire, James/I-2800-2013; Spinhirne, James D/D-2541-2011</t>
  </si>
  <si>
    <t>Campbell, James/0000-0003-0251-4550</t>
  </si>
  <si>
    <t>WOS:000179116801172</t>
  </si>
  <si>
    <t>Mitskevich, TN; Poglazova, MN; Abyzov, SS</t>
  </si>
  <si>
    <t>Hoover, RB; Rozanov, AY; Lipps, JH</t>
  </si>
  <si>
    <t>The study of the microorganisms preserved in the Central Antarctic glacier in connection with the problems of Astrobiology</t>
  </si>
  <si>
    <t>INSTRUMENTS, METHODS, AND MISSIONS FOR ASTROBIOLOGY VI</t>
  </si>
  <si>
    <t>Proceedings of SPIE</t>
  </si>
  <si>
    <t>Conference on Instruments, Methods, and Missions for Astrobiology VI</t>
  </si>
  <si>
    <t>MAY 21-25, 2002</t>
  </si>
  <si>
    <t>MOSCOW, RUSSIA</t>
  </si>
  <si>
    <t>Antarctica; microorganisms; anabiosis; ice; exobiology</t>
  </si>
  <si>
    <t>ICE-SHEET; PERMAFROST</t>
  </si>
  <si>
    <t>The microbiological investigations of icy formations on the Earth, including Central Antarctic glacier, are closely related to the problem of origin of life on the Earth and other planets, as well as to the problem of transfering of some primitive life forms through the space. The study of the Central Antarctic ice core (50 - 3540 in depth) provided us with the information on abundance and morphological diversity of procaryotic and eucaryotic microorganisms brought on glacier surface by atmospheric currents in different geological epochs. Some microorganisms remained viable owing to the anabiotic state. The incubation of the thawed water of ice core samples showed that the intensity of bacterial propagation depended on several factors including initial cell concentration, organic matter content in the sample and incubation temperature. The quantity of microorganisms increased more noticeably at 20, 25 and 28degrees c than at 15degreesC. These results suggest the occurence of mesophilic microorganisms in the samples from the horizons studied. It is obvious that these microorganisms are resistant to such extremal environments. In addition the results obtained may indirectly evidence for climatic conditions in ancient epochs.</t>
  </si>
  <si>
    <t>Russian Acad Sci, Inst Microbiol, Moscow 117811, Russia</t>
  </si>
  <si>
    <t>Research Center of Biotechnology RAS; Russian Academy of Sciences</t>
  </si>
  <si>
    <t>Mitskevich, TN (corresponding author), Russian Acad Sci, Inst Microbiol, Moscow 117811, Russia.</t>
  </si>
  <si>
    <t>mitsk@inmi.msk.ru</t>
  </si>
  <si>
    <t>1996-756X</t>
  </si>
  <si>
    <t>0-8194-4734-X</t>
  </si>
  <si>
    <t>PROC SPIE</t>
  </si>
  <si>
    <t>Instruments &amp; Instrumentation; Paleontology</t>
  </si>
  <si>
    <t>BW40B</t>
  </si>
  <si>
    <t>WOS:000181863300023</t>
  </si>
  <si>
    <t>Sorokin, VV; Mulyukin, AL; Vorobyova, EA; Suzina, NE; Duda, VI; El-Registana, GI</t>
  </si>
  <si>
    <t>Detection of microbial cells and preliminary estimation of their physiological state by X-ray microanalysis</t>
  </si>
  <si>
    <t>X-ray microanalysis; permafrost sediments; microorganisms; resting cells; micromummies; elemental composition</t>
  </si>
  <si>
    <t>SURVIVAL</t>
  </si>
  <si>
    <t>The method of X-ray microanalysis was used for the detection of microbial cells among cell-like particles immediately in the samples of 170 thousand year old ancient Antarctic permafrost sediments. The X-ray spectra and the quantitative parameters of P, S, Ca and K contents in cell-like particles, as well as ratios Ca/K and P/S, were compared with the corresponding data obtained for microbial cells of various physiological states: vegetative cells - resting forms - non-viable micromummies. The absence of P and S peaks in X-ray spectra in the most of cell-like particles allowed us to regard them as nonliving objects. Among other investigated cell-like particles we were able to find the resting forms of microorganisms with the increased intracellular level of Ca, high Ca/K ratio and low P/S ratio. So, X-ray microanalysis is a promising tool for a primary detection of microbial cells in situ and determination of their physiological state.</t>
  </si>
  <si>
    <t>Russian Acad Sci, Inst Microbiol, Moscow 117312, Russia</t>
  </si>
  <si>
    <t>Russian Academy of Sciences; Research Center of Biotechnology RAS</t>
  </si>
  <si>
    <t>Russian Acad Sci, Inst Microbiol, Pr 60 Letiya Oktyabrya 7-2, Moscow 117312, Russia.</t>
  </si>
  <si>
    <t>svv@inmi.da.ru</t>
  </si>
  <si>
    <t>Mulyukin, A./AAU-1036-2021; Vorobyova, Elena/ABF-3374-2021; Suzina, Nataliya/G-7972-2014</t>
  </si>
  <si>
    <t>Vorobyova, Elena/0000-0002-4636-9933; Suzina, Nataliya/0000-0002-4960-1910; Biopoly, Labo/0000-0002-5437-0723; Duda, Vitalii/0000-0002-3221-4201; Sorokin, Vladimir/0000-0002-4166-3105</t>
  </si>
  <si>
    <t>WOS:000181863300027</t>
  </si>
  <si>
    <t>Pearce, DA</t>
  </si>
  <si>
    <t>Wetzel, RG</t>
  </si>
  <si>
    <t>The diversity of bacterioplankton community structures over a range of Antarctic freshwater takes</t>
  </si>
  <si>
    <t>INTERNATIONAL ASSOCIATION OF THEORETICAL AND APPLIED LIMNOLOGY, VOL 28, PT 2, PROCEEDINGS</t>
  </si>
  <si>
    <t>INTERNATIONAL ASSOCIATION OF THEORETICAL AND APPLIED LIMNOLOGY - PROCEEDINGS</t>
  </si>
  <si>
    <t>28th Congress of the International-Association-of-Theoretical-and-Applied-Limnology</t>
  </si>
  <si>
    <t>MELBOURNE, AUSTRALIA</t>
  </si>
  <si>
    <t>GRADIENT GEL-ELECTROPHORESIS; 16S RIBOSOMAL-RNA; IN-SITU HYBRIDIZATION; IDENTIFICATION; FRAGMENTS; BACTERIA; ASSEMBLAGES; POPULATIONS; LAKES; MAT</t>
  </si>
  <si>
    <t>Pearce, DA (corresponding author), British Antarctic Survey, Madingley Rd, Cambridge CB3 0ET, England.</t>
  </si>
  <si>
    <t>E SCHWEIZERBART'SCHE VERLAGSBUCHHANDLUNG</t>
  </si>
  <si>
    <t>JOHANNESTRASSE 3, W-7000 STUTTGART, GERMANY</t>
  </si>
  <si>
    <t>0368-0770</t>
  </si>
  <si>
    <t>3-510-54061-1</t>
  </si>
  <si>
    <t>INT VER THEOR ANGEW</t>
  </si>
  <si>
    <t>Limnology</t>
  </si>
  <si>
    <t>BW12R</t>
  </si>
  <si>
    <t>WOS:000180942800068</t>
  </si>
  <si>
    <t>Hidalgo, E; Helle, S; Alfaro, G; Kelm, U</t>
  </si>
  <si>
    <t>Geology and characterisation of the Pecket coal deposit, Magellan Region, Chile</t>
  </si>
  <si>
    <t>INTERNATIONAL JOURNAL OF COAL GEOLOGY</t>
  </si>
  <si>
    <t>Symposium on Geology of Coal-Bearing Strata</t>
  </si>
  <si>
    <t>AUG 06-17, 2000</t>
  </si>
  <si>
    <t>RIO DE JANEIRO, BRAZIL</t>
  </si>
  <si>
    <t>Oligo-Miocene coals; mineral matter; maceral composition; combustion; Chile</t>
  </si>
  <si>
    <t>BRITISH-COLUMBIA; CANADA; BASIN</t>
  </si>
  <si>
    <t>The geology, petrography and chemical variation of the Pecket coal sequence, Magellan Region (52degrees57' S, 71degrees10' W), the only Chilean coal used for electricity generation on a large scale, has been studied in order to predict their combustion behaviour, especially in coal blends. The depositional environment of formation of the coal seams was a swamp rarely exposed to subaerial conditions and was associated with the development of the folded foreland of the Magellan basin during the Tertiary (Oligo-Miocene). The general tectonic regime of the collision of the Antarctic and South American plates is reflected by a system of joints with 40degreesN-50degreesW strike. The maceral composition of all six seams studied indicates high contents of vitrinite (&gt;90%), minor content of liptinite (4.7%) and inertinite (&lt;2%). Occurrence of tonstein horizons altered to kaolinite indicates a distal volcanism during peat accumulation. Coal rank varies between lignite and subbituminous (Ro=0.28-0.42%) with an average dry basis calorific value of 5450 kcal/kg, 17 wt.% moisture, 41 wt.% volatile matter, and sulphur content below 0.5 wt.%, The mineral matter (LTA) associated with the coal shows a dominance of kaolinite with quartz, smectite, and minor basanite. SiO(2)/Al(2)O(3) and Fe(2)O(3)/CaO ratios of the ashes diminish towards the lower seams. With respect to the utilisation of Pecket coals in combustion, base/acid ratios (B/A) and silica ratios (SR) indicate potential fouling for seams 1, 2, 5, and 6i, with high fouling indexes (Rf) for seams 2 and 5. Pecket coal is excellent for blend combustion due to its low sulphur content. (C) 2002 Elsevier Science B.V. All rights reserved.</t>
  </si>
  <si>
    <t>Univ Concepcion, Inst Geol Econ Aplicada, Concepcion, Chile</t>
  </si>
  <si>
    <t>Universidad de Concepcion</t>
  </si>
  <si>
    <t>Helle, S (corresponding author), Univ Concepcion, Inst Geol Econ Aplicada, POB 160 C, Concepcion, Chile.</t>
  </si>
  <si>
    <t>shelle@udec.cl</t>
  </si>
  <si>
    <t>0166-5162</t>
  </si>
  <si>
    <t>INT J COAL GEOL</t>
  </si>
  <si>
    <t>Int. J. Coal Geol.</t>
  </si>
  <si>
    <t>PII S0166-5162(01)00058-1</t>
  </si>
  <si>
    <t>10.1016/S0166-5162(01)00058-1</t>
  </si>
  <si>
    <t>Energy &amp; Fuels; Geosciences, Multidisciplinary</t>
  </si>
  <si>
    <t>Energy &amp; Fuels; Geology</t>
  </si>
  <si>
    <t>532CW</t>
  </si>
  <si>
    <t>WOS:000174454900006</t>
  </si>
  <si>
    <t>Tositti, L; Pereira, EB; Sandrini, S; Capra, D; Tubertini, O; Bettoli, MG</t>
  </si>
  <si>
    <t>Assessment of summer trends of tropospheric radon isotopes in a coastal antarctic station (Terra nova bay)</t>
  </si>
  <si>
    <t>INTERNATIONAL JOURNAL OF ENVIRONMENTAL ANALYTICAL CHEMISTRY</t>
  </si>
  <si>
    <t>Rn-222; Rn-220; Antarctica; atmospheric tracers</t>
  </si>
  <si>
    <t>FLUXES</t>
  </si>
  <si>
    <t>This work reports the first results of atmospheric radon measurements performed at the Italian Antarctic station located at Terra Nova Bay (74.69degreesS; 164.12degreesE) during summer campaigns of 1995-96, 1996-97 and 1997-98. Mean 222 Rn concentrations was 0.51 +/- 0.43 Bq m(-3) (median = 0.37 Bq m(-3)), and ranged from 0.01 to 2.74 Bq m(-3). On the average, these values were considered high, in comparison to results reported for other sites in Antarctica at equivalent latitudes. This could be explained by two causes: radon data for Terra Nova Bay were only for the summer period, when the ice-free area is at its maximum and thus the radon emission to the atmosphere; and by the larger ice-free area at Terra Nova Bay compared, for example, to measurements taken at another Antarctic site by the same technique (Ferraz station - 62degrees05'S; 058degrees23.5'W). The mean Rn-222 to Rn-220 activity ratio was 4.4 +/- 4.2, ranging between 0.1 and 45.3. The highest ratios indicated that some of observed surges of concentration of Rn-222 could be attributed to not local sources. Lower radon concentrations were observed during katabatic wind events. The diurnal radon variation followed the general trend observed for continental areas located at lower latitudes.</t>
  </si>
  <si>
    <t>Univ Bologna, Dipartimento Chim G Ciamician, Lab Radiochim Ambientale, I-40126 Bologna, Italy; Inst Nacl Pesquisas Espaciais, Sao Jose Dos Campos, Brazil; CESI SpA, Segrate, MI, Italy</t>
  </si>
  <si>
    <t>University of Bologna; Instituto Nacional de Pesquisas Espaciais (INPE)</t>
  </si>
  <si>
    <t>Univ Bologna, Dipartimento Chim G Ciamician, Lab Radiochim Ambientale, Via Selmi 2, I-40126 Bologna, Italy.</t>
  </si>
  <si>
    <t>laurat@ciam.unibo.it</t>
  </si>
  <si>
    <t>Pereira, Enio/AAH-3308-2020; Tositti, Laura/L-3562-2016; sandrini, silvia/K-5140-2012</t>
  </si>
  <si>
    <t>Pereira, Enio/0000-0002-5095-0085; Tositti, Laura/0000-0002-1778-672X; sandrini, silvia/0000-0002-3346-6531</t>
  </si>
  <si>
    <t>0306-7319</t>
  </si>
  <si>
    <t>1029-0397</t>
  </si>
  <si>
    <t>INT J ENVIRON AN CH</t>
  </si>
  <si>
    <t>Int. J. Environ. Anal. Chem.</t>
  </si>
  <si>
    <t>10.1080/03067310290027767</t>
  </si>
  <si>
    <t>Chemistry, Analytical; Environmental Sciences</t>
  </si>
  <si>
    <t>Chemistry; Environmental Sciences &amp; Ecology</t>
  </si>
  <si>
    <t>581UU</t>
  </si>
  <si>
    <t>WOS:000177312700001</t>
  </si>
  <si>
    <t>Bozal, N; Montes, MJ; Tudela, E; Jiménez, F; Guinea, J</t>
  </si>
  <si>
    <t>Shewanella frigidimarina and Shewanella livingstonensis sp nov isolated from Antarctic coastal areas</t>
  </si>
  <si>
    <t>Antarctica; Shewanella frigidimarina; Shewanella livingstonensis; polyphasic taxonomy</t>
  </si>
  <si>
    <t>PSEUDOMONAS-PUTREFACIENS; ISOPRENOID QUINONES; DNA HYBRIDIZATION; GENUS SHEWANELLA; POLAR LIPIDS; ALTEROMONAS; REDUCTION; BACTERIA; RECLASSIFICATION; RESPIRATION</t>
  </si>
  <si>
    <t>Three strains of psychrophilic bacteria isolated from Antarctic coastal marine environments were studied to determine their taxonomic position. These bacteria were Gram-negative rods, facultatively anaerobic and motile by means of a single polar flagellum. None of the bacterial isolates had an Na+ requirement. Only one of the strains was capable of producing H2S from thiosulfate. The DNA base content of these bacteria was 41-42 mol% G+C. DNA-DNA hybridization experiments showed that the isolates formed two related groups that exhibited about 70 and 24% DNA-DNA homology, respectively, with the type strain of Shewanella frigidimarina. The fatty acid profiles of the bacterial isolates were similar to the profiles of other Shewanella species. All the strains contained both ubiquinones and menaquinones, like Shewanella species. Methylmenaquinones were also found. 165 rRNA gene analysis confirmed that isolated strains belonged to the genus Shewanella and were phylogenetically related to the newly identified Shewanella frigidimarina. The results of the polyphasic taxonomic study assigned the three isolates to Shewanella and two of them specifically to Shewanella frigidimarina. The name Shewanella livingstonensis sp. nov. (type strain LMG 19866(T)) is proposed for the third organism.</t>
  </si>
  <si>
    <t>Univ Barcelona, Fac Farm, Microbiol Lab, E-08028 Barcelona, Spain</t>
  </si>
  <si>
    <t>University of Barcelona</t>
  </si>
  <si>
    <t>Guinea, J (corresponding author), Univ Barcelona, Fac Farm, Microbiol Lab, Av Joan XIII S-N, E-08028 Barcelona, Spain.</t>
  </si>
  <si>
    <t>DE FEBRER, NURIA N.B.F. BOZAL/L-7456-2014; Montes, Mª Jesús/L-6430-2014</t>
  </si>
  <si>
    <t>SOC GENERAL MICROBIOLOGY</t>
  </si>
  <si>
    <t>MARLBOROUGH HOUSE, BASINGSTOKE RD, SPENCERS WOODS, READING RG7 1AG, BERKS, ENGLAND</t>
  </si>
  <si>
    <t>10.1099/00207713-52-1-195</t>
  </si>
  <si>
    <t>514WN</t>
  </si>
  <si>
    <t>WOS:000173464200018</t>
  </si>
  <si>
    <t>Munakata, K; Miyasaka, H; Sakurai, I; Yasue, S; Kato, C; Akahane, S; Koyama, M; Hall, DL; Fujii, Z; Fujimoto, K; Sakakibara, S; Humble, JE; Duldig, ML</t>
  </si>
  <si>
    <t>Shea, MA</t>
  </si>
  <si>
    <t>Solar cycle variations of modulation parameters of galactic cosmic-rays in the heliosphere</t>
  </si>
  <si>
    <t>INTERNATIONAL SOLAR CYCLE STUDY (ISCS)</t>
  </si>
  <si>
    <t>1st International Solar Cycle Study Workshop</t>
  </si>
  <si>
    <t>JUL, 1998</t>
  </si>
  <si>
    <t>NAGOYA, JAPAN</t>
  </si>
  <si>
    <t>LEVEL MUON TELESCOPES; NORTH-SOUTH ASYMMETRY; 2-HEMISPHERE NETWORK; DIURNAL ANISOTROPY; LATITUDE GRADIENT; SIDEREAL</t>
  </si>
  <si>
    <t>Solar cycle variations of modulation parameters are derived from cosmic-ray anisotropy observed by a network of multidirectional muon telescopes. The network covers wide ranges of median rigidity of primary cosmic-rays and effective latitude of viewing. It was found that the radial density gradient varies with a good correlation with the solar activity, while the parallel mean-free-path of the cosmic-ray diffusion varies with an anti-correlation with the solar activity. These features are both in accord with the conventional modulation theory incorporating convection and diffusion processes. The correlation coefficients of yearly mean values of radial density gradient and parallel mean-free-path with the sunspot number were respectively 0.7 and 0.6. The bi-directional latitudinal gradient showed a clear 22-year solar magnetic cycle as predicted by the drift model for the cosmic-ray transport in the heliosphere. The unidirectional latitudinal gradient, on the other hand, showed no clear variation related to the I I year solar activity or 22-year solar magnetic-cycles, but it remains positive after the late 80's implying a higher density of cosmic-rays in the southern hemisphere below the heliospheric current sheet. We also analyze temporal variations of modulation parameters derived from neutron monitor observations at similar to10 GV. By comparing with those obtained from muon observations at 60 GV, we discuss the rigidity dependence of temporal variations of modulation parameters. (C) 2002 COSPAR. Published by Elsevier Science Ltd. All rights reserved.</t>
  </si>
  <si>
    <t>Shinshu Univ, Fac Sci, Dept Phys, Matsumoto, Nagano 3908621, Japan; RIKEN, Inst Phys &amp; Chem Res, Wako, Saitama 3510198, Japan; Nagoya Univ, Solar Terrestrial Environm Lab, Nagoya, Aichi 4648601, Japan; Univ Tasmania, Sch Math &amp; Phys, Hobart, Tas 7001, Australia; Australian Antarctic Div, Kingston, Tas 7050, Australia</t>
  </si>
  <si>
    <t>Shinshu University; RIKEN; Nagoya University; University of Tasmania; Australian Antarctic Division</t>
  </si>
  <si>
    <t>Munakata, K (corresponding author), Shinshu Univ, Fac Sci, Dept Phys, Matsumoto, Nagano 3908621, Japan.</t>
  </si>
  <si>
    <t>Sakurai, Ikuya/GRX-6464-2022</t>
  </si>
  <si>
    <t>Sakurai, Ikuya/0000-0003-3225-0365; Humble, John/0000-0002-4698-1671; Duldig, Marcus/0000-0001-7463-8267</t>
  </si>
  <si>
    <t>PII S0273-1177(02)00205-3</t>
  </si>
  <si>
    <t>10.1016/S0273-1177(02)00205-3</t>
  </si>
  <si>
    <t>BU82U</t>
  </si>
  <si>
    <t>WOS:000177134900015</t>
  </si>
  <si>
    <t>McHugh, D; Fong, PP</t>
  </si>
  <si>
    <t>Do life history traits account for diversity of polychaete annelids?</t>
  </si>
  <si>
    <t>INVERTEBRATE BIOLOGY</t>
  </si>
  <si>
    <t>key innovation; Annelida; life span; body size; egg size; fecundity</t>
  </si>
  <si>
    <t>EUPOLYMNIA-NEBULOSA MONTAGU; LANICE-CONCHILEGA ANNELIDA; SUB-ANTARCTIC PROVINCE; LARVAL DEVELOPMENT; REPRODUCTIVE-BIOLOGY; POPULATION-STRUCTURE; CAPITELLA SP; NORTHUMBERLAND POPULATION; NEPHTYS-CAECA; SABELLID POLYCHAETE</t>
  </si>
  <si>
    <t>Within many phylogenetic assemblages, a pattern of domination has been observed: one or a few clades have had many more speciation events or fewer extinctions than other clades in a particular assemblage. We investigated this phenomenon in the polychaete annelids. Polychaetes comprise similar to9000 described species classified in over 70 families and exhibit a great variety of life history strategies. Our goal was to test whether diverse polychaete families are characterized by species with short generation times, high reproductive output, small body size, or with planktotrophic larval development. Each of these factors has been advanced as cause for high diversity in other taxonomic assemblages. Here, we establish that the diversification pattern of polychaete families is non-random, but the data collected show no significant correlations between familial diversity and several life history traits including age at first reproduction, life span, body size, fecundity, and egg size. Pairwise comparisons of sister families do not reveal any trends between familial diversity and any of the life history traits. The great variability of life history traits within polychaete families may explain the lack of significant results; perhaps no trends are seen because polychaete life history traits cannot be generalized at the family level.</t>
  </si>
  <si>
    <t>Colgate Univ, Dept Biol, Hamilton, NY 13346 USA; Gettysburg Coll, Dept Biol, Gettysburg, PA 17325 USA</t>
  </si>
  <si>
    <t>Colgate University; Gettysburg College</t>
  </si>
  <si>
    <t>McHugh, D (corresponding author), Colgate Univ, Dept Biol, Hamilton, NY 13346 USA.</t>
  </si>
  <si>
    <t>dmchugh@mail.colgate.edu</t>
  </si>
  <si>
    <t>WILEY-BLACKWELL</t>
  </si>
  <si>
    <t>1077-8306</t>
  </si>
  <si>
    <t>1744-7410</t>
  </si>
  <si>
    <t>INVERTEBR BIOL</t>
  </si>
  <si>
    <t>Invertebr. Biol.</t>
  </si>
  <si>
    <t>10.1111/j.1744-7410.2002.tb00133.x</t>
  </si>
  <si>
    <t>618LH</t>
  </si>
  <si>
    <t>WOS:000179419200002</t>
  </si>
  <si>
    <t>López-González, PJ; Williams, GC</t>
  </si>
  <si>
    <t>A new genus and species of sea pen (Octocorallia: Pennatulacea: Stachyptilidae) from the Antarctic Peninsula</t>
  </si>
  <si>
    <t>INVERTEBRATE SYSTEMATICS</t>
  </si>
  <si>
    <t>OCEAN; FAUNA</t>
  </si>
  <si>
    <t>Only six of the thirty-three valid genera of sea pens have previously been recorded from the Southern Oceans (Subantarctic and Antarctic regions). The discovery of a new genus, Gilibelemnon, and new species, Gilibelemnon octodentatum, of stachyptilid sea pen is here reported from the South Shetland Islands, which makes a total of eight genera known to occur in the Southern Oceans and thirty-four genera of sea pens known worldwide. Diagnostic features of the new genus are described, including the presence of a clearly delimited dorsal and ventral naked track on the rachis, the calyces with eight long terminal teeth, the siphonozooids densely and irregularly distributed and the presence of three-flanged rods in the peduncle surface. A discussion of sea pen phylogeny and biogeography in the Antarctic region is also provided.</t>
  </si>
  <si>
    <t>Univ Sevilla, Fac Biol, Dept Fisiol &amp; Zool, E-41012 Seville, Spain; Calif Acad Sci, Dept Invertebrate Zool &amp; Geol, San Francisco, CA 94118 USA</t>
  </si>
  <si>
    <t>University of Sevilla; California Academy of Sciences</t>
  </si>
  <si>
    <t>López-González, PJ (corresponding author), Univ Sevilla, Fac Biol, Dept Fisiol &amp; Zool, Reina Mercedes 6, E-41012 Seville, Spain.</t>
  </si>
  <si>
    <t>1445-5226</t>
  </si>
  <si>
    <t>INVERTEBR SYST</t>
  </si>
  <si>
    <t>Invertebr. Syst.</t>
  </si>
  <si>
    <t>10.1071/IT01027</t>
  </si>
  <si>
    <t>Evolutionary Biology; Zoology</t>
  </si>
  <si>
    <t>624RB</t>
  </si>
  <si>
    <t>WOS:000179773800004</t>
  </si>
  <si>
    <t>Thiemens, MH</t>
  </si>
  <si>
    <t>Mass-independent isotope effects and their use in understanding natural processes</t>
  </si>
  <si>
    <t>ISRAEL JOURNAL OF CHEMISTRY</t>
  </si>
  <si>
    <t>STRATOSPHERIC NITROUS-OXIDE; ATMOSPHERIC CARBON-MONOXIDE; ANOMALOUS O-17 COMPOSITIONS; RATE COEFFICIENTS; OZONE FORMATION; HEAVY OZONE; INTRAMOLECULAR THEORY; O-16-O-18 MIXTURES; N2O ISOTOPOMERS; OXYGEN</t>
  </si>
  <si>
    <t>In 1983, Thiemens and Heidenreich (Science 219, 1073) reported the discovery of a mass-independent isotope process in oxygen. Subsequently, mass-independent isotopic compositions were observed in meteorites, atmospheric O-2, CO2, O-3, H2O2, CO, N2O, and aerosol sulfate and nitrate. In addition, solid samples from the Namibian Desert, Antarctic dry valleys, Miocene volcanic ash, and Death Valley varnishes all possess mass-independent isotopic compositions that have permitted new scientific insights to be obtained. Sulfur mass-independent isotopic anomalies in Precambrian samples have provided a completely new mechanism to track atmospheric O-2 levels and the evolution of life from similar to3.9 to 2.2 x 10(9) years ago. Measurements of mass-independent isotopic compositions in Martian meteoritic sulfates and carbonates have also provided new information on Martian atmosphere-regolith interactions and history. In sum, the use of mass-independent isotopic compositions has advanced a wide range of geo- and cosmo-chemical frontiers. In addition, these newly discovered effects have provided a new means to probe the chemical physics of molecular transition state theory.</t>
  </si>
  <si>
    <t>Univ Calif San Diego, Dept Chem &amp; Biochem, La Jolla, CA 92093 USA</t>
  </si>
  <si>
    <t>University of California System; University of California San Diego</t>
  </si>
  <si>
    <t>Univ Calif San Diego, Dept Chem &amp; Biochem, Mail Code 0356, La Jolla, CA 92093 USA.</t>
  </si>
  <si>
    <t>mht@chem.ucsd.edu</t>
  </si>
  <si>
    <t>WILEY-V C H VERLAG GMBH</t>
  </si>
  <si>
    <t>WEINHEIM</t>
  </si>
  <si>
    <t>POSTFACH 101161, 69451 WEINHEIM, GERMANY</t>
  </si>
  <si>
    <t>0021-2148</t>
  </si>
  <si>
    <t>1869-5868</t>
  </si>
  <si>
    <t>ISR J CHEM</t>
  </si>
  <si>
    <t>Isr. J. Chem.</t>
  </si>
  <si>
    <t>10.1560/VM6G-LWEC-H5EX-39NR</t>
  </si>
  <si>
    <t>632QP</t>
  </si>
  <si>
    <t>WOS:000180234600005</t>
  </si>
  <si>
    <t>Townsend, AT; Snape, I</t>
  </si>
  <si>
    <t>The use of Pb isotope ratios determined by magnetic sector ICP-MS for tracing Pb pollution in marine sediments near Casey Station, East Antarctica</t>
  </si>
  <si>
    <t>JOURNAL OF ANALYTICAL ATOMIC SPECTROMETRY</t>
  </si>
  <si>
    <t>SNOW SAMPLES; HEAVY-METALS; ALPINE SNOW; LEAD; SUBPICOGRAM; PRECISION; POLAR; BAY</t>
  </si>
  <si>
    <t>Magnetic sector inductively coupled plasma mass spectrometry (ICP-SMS) was used to measure lead concentrations and isotope ratios in marine sediments and other samples collected from near the Australian Antarctic Station Casey. Precisions obtained from the repetitive analysis of a standard Broken Hill Pb sample at a concentration of similar to40 ng g(-1) in solution were &lt;+/- 0.2% for ratios involving Pb-204, and &lt;+/- 0.1% for those referenced to Pb-206 or Pb-207 (n = 12 replicates over 2 days, values as 1s). Ratios were accurate to within similar to +/- 0.1% for the analysis of this standard sample. Comparative measurements between ICP-SMS and TIMS had typical differences in values of &lt;0.4% for contaminated samples, irrespective of ratio. For marine sediment samples with Pb concentrations in the sample digest of &gt;10 ng g(-1), instrumental capability was characterised by isotopic precisions ranging from 0.1-0.5% (1s) for ratios involving Pb-204, and &lt;0.25% (1s) for ratios with Pb-206 or Pb-207 as the basis (typically found from triplicate analyses). For sediments of low Pb concentration ( 10 ng g(-1) in the sample digest), isotope ratios to Pb-204 were found to be limited by instrument counting statistics when using standard ICP-SMS. To help overcome this problem, Pb isotope ratios for these samples were measured with a capacitive decoupling Pt guard electrode employed, offering considerable signal enhancement (5-10x). These natural background sediments were found to display typical Pb isotope ratios of 40.5, 15.5, 18.6 and 1.19 for Pb-208/Pb-204, Pb-207/Pb-204, Pb-206/Pb-204 and Pb-206/Pb-207. For comparison, the most contaminated samples had Pb isotope ratios of approximately 36.2, 15.4, 16.4 and 1.06 for Pb-208/Pb-204, Pb-207/Pb-204, Pb-206/Pb-204 and Pb-206/Pb-207, respectively. Evidence of simple two component mixing between anthropogenic and natural geogenic Pb was found near Casey Station. Runoff from the Thala Valley tip site, adjacent to the bay, was identified as a clear source of Pb pollution, with impacted sediments displaying an isotopic signature approaching that of abandoned lead batteries collected from the tip. These batteries possessed Pb isotope ratios identical to Australian Broken Hill lead. In this study, the use of Pb isotope data has proved to be a sensitive method of assessing contamination levels in the Antarctic marine environment adjacent to a waste disposal site. Lead isotope ratios have proved superior to simple elemental concentration determinations when distinguishing between impacted and non-impacted samples. ICP-SMS has been shown to offer relatively fast, accurate and cost effective Pb isotope ratios, with precisions suitable for many environmental applications.</t>
  </si>
  <si>
    <t>Univ Tasmania, Cent Sci Lab, Hobart, Tas 7001, Australia; Australian Antarctic Div, Kingston, Tas 7050, Australia</t>
  </si>
  <si>
    <t>Univ Tasmania, Cent Sci Lab, GPO Box 252-74, Hobart, Tas 7001, Australia.</t>
  </si>
  <si>
    <t>Townsend, Ashley/J-7445-2014</t>
  </si>
  <si>
    <t>Townsend, Ashley/0000-0002-2972-2678</t>
  </si>
  <si>
    <t>ROYAL SOC CHEMISTRY</t>
  </si>
  <si>
    <t>THOMAS GRAHAM HOUSE, SCIENCE PARK, MILTON RD, CAMBRIDGE CB4 0WF, CAMBS, ENGLAND</t>
  </si>
  <si>
    <t>0267-9477</t>
  </si>
  <si>
    <t>1364-5544</t>
  </si>
  <si>
    <t>J ANAL ATOM SPECTROM</t>
  </si>
  <si>
    <t>J. Anal. At. Spectrom.</t>
  </si>
  <si>
    <t>10.1039/b203449m</t>
  </si>
  <si>
    <t>Chemistry, Analytical; Spectroscopy</t>
  </si>
  <si>
    <t>Chemistry; Spectroscopy</t>
  </si>
  <si>
    <t>580UP</t>
  </si>
  <si>
    <t>WOS:000177254600027</t>
  </si>
  <si>
    <t>McConnell, B; Fedak, M; Burton, HR; Engelhard, GH; Reijnders, PJH</t>
  </si>
  <si>
    <t>Movements and foraging areas of naive, recently weaned southern elephant seal pups</t>
  </si>
  <si>
    <t>JOURNAL OF ANIMAL ECOLOGY</t>
  </si>
  <si>
    <t>Argos telemetry; foraging strategy; maternal investment; migration; navigation; reporductive strategies</t>
  </si>
  <si>
    <t>MIROUNGA-LEONINA; BODY-COMPOSITION; DIVING BEHAVIOR; OCEAN CIRCULATION; WEANING MASS; GRAY SEALS; DETERMINANTS; POPULATION; ENERGETICS; MIGRATION</t>
  </si>
  <si>
    <t>1. Female southern elephant seals (Mirounga leonina L.) expend variable, often large, amounts of their stored body resources on their pups during lactation. There is some evidence that pups with higher weaning masses have a better chance of surviving their first year. But in order to understand what level of maternal investment is required to produce successful pups, we need to understand the behaviour and problems faced by naive pups before nutritional independence. 2. We used satellite telemetry to track 30 newly weaned pups on their first trip to sea from their natal site at Macquarie Island in 1995 and 1996. Track duration varied from 2 to 179 (mean. 77) days. Seven seals were tracked for the entire duration of their first trip. 3. The movements were grouped into three phases. Phase 1 (mean duration 30 days) was characterized by rapid and directed dispersal from Macquarie Island at daily travel rates of up to 140 km day(-1). Phase 2 (mean duration 67 days) consisted of slower travel rates (generally &lt; 20 km day(-1)) where activity was often centred on localized patches up to 1900 km from Macquarie Island. This phase was sometimes interrupted by bouts of increased travel rate as the seal moved to another patch. Phase 3 (mean duration 42 days) consisted of prolonged increased travel rates as the seals returned to Macquarie or, in one case, Chatham Island. 4. The routes of the tracks to the south-east were very similar. Simulated tracks based on a constant heading of magnetic east, at variable swimming speed, and modified by ocean Current vectors produced a pattern similar to. but not identical to, the south-east tracks. The tracks to the west and south were more diverse and meandering. 5. Based on a nearest neighbour analysis, neither sex, year nor weaning mass influenced Phase 1-2 or Phase 2-3 transition locations. 6. Phase 2 tracks were associated in the south-eastern group with the Pacific Antarctic Ridge and in the south-west group, to a lesser extent, with the Indian Antarctic Ridge. The southern limits of Phase 2 tracks in the south-eastern group aligned with the southern Antarctic Circumpolar Circulation front. 7. Using calculated estimates of body composition at weaning and estimates of the rate of utilization of body reserves for the period before animals reach phase 2 of their trip, we estimate that large pups will have reserves remaining to supply their needs whereas pups in the small group are approaching critical limits. However, these estimates are based on several assumptions and extrapolations. More information on body composition of pups at weaning and departure is needed along with behavioural information to clarify the value of maternal expenditure in terms of offspring survival.</t>
  </si>
  <si>
    <t>Univ St Andrews, Gatty Marine Lab, Sea Mammal Res Unit, St Andrews KY16 8LB, Fife, Scotland; Australian Antarctic Div, Kingston, Tas 7050, Australia; Univ Groningen, Ctr Ecol &amp; Evolutionary Studies, NL-9750 AA Haren, Netherlands; Alterra Inst, Marine &amp; Coastal Zone Res, NL-1790 AD Den Burg, Netherlands</t>
  </si>
  <si>
    <t>University of St Andrews; Australian Antarctic Division; University of Groningen; Wageningen University &amp; Research</t>
  </si>
  <si>
    <t>Univ St Andrews, Gatty Marine Lab, Sea Mammal Res Unit, St Andrews KY16 8LB, Fife, Scotland.</t>
  </si>
  <si>
    <t>b.mcconnell@smru.ac.uk</t>
  </si>
  <si>
    <t>; Fedak, Michael/B-3987-2009</t>
  </si>
  <si>
    <t>reijnders, peter/0000-0002-3783-8283; Fedak, Michael/0000-0002-9569-1128</t>
  </si>
  <si>
    <t>0021-8790</t>
  </si>
  <si>
    <t>1365-2656</t>
  </si>
  <si>
    <t>J ANIM ECOL</t>
  </si>
  <si>
    <t>J. Anim. Ecol.</t>
  </si>
  <si>
    <t>10.1046/j.0021-8790.2001.00576.x</t>
  </si>
  <si>
    <t>527ZC</t>
  </si>
  <si>
    <t>WOS:000174217100008</t>
  </si>
  <si>
    <t>Amigo, SG; Yusty, MAL; Lozano, JS</t>
  </si>
  <si>
    <t>Determination of polycyclic aromatic hydrocarbons from buzzards (Buteo buteo) and tawny owl (Strix aluco) by liquid chromatography with fluorescence detection</t>
  </si>
  <si>
    <t>JOURNAL OF AOAC INTERNATIONAL</t>
  </si>
  <si>
    <t>ANTARCTIC PENINSULA; ARTHUR HARBOR; HPLC-FL; EXTRACTION; CONTAMINATION; PRODUCTS; SEDIMENTS; SAMPLES; SOIL; PAHS</t>
  </si>
  <si>
    <t>Supercritical fluid extraction was applied to the determination of naturally contaminated polycyclic aromatic hydrocarbons (PAHs) in bird tissue by liquid chromatography with fluorescence detection (L-FL). Recoveries (&gt;90%) and relative standard deviations (less than or equal to7.7%) were satisfactory. The levels of 10 PAHs were analyzed in 6 classes of tissues (heart, liver, intestine, muscle, lung, and kidney) of 10 buzzards and 2 tawny owls, predatory birds from the Galicia (northwest Spain). The PAHs found most abundantly were pyrene, fluoranthene, benzo[a]anthracene, and anthracene. Chrysene, benzo[b]fluoranthene, benzo[k]fluoranthene, benzo[ghi]perylene, and indeno[1,2,3-cd]pyrene were not detected. Intestine, kidney, and lung were more polluted than other tissues.</t>
  </si>
  <si>
    <t>Univ Santiago de Compostela, Fac Pharm, Dept Analyt Chem Nutr &amp; Bromatol, Area Nutr &amp; Bromatol, E-15782 Santiago De Compostela, Spain; Univ Santiago de Compostela, Fac Pharm, Inst Res &amp; Food Anal, Lab Bromatol, E-15782 Santiago De Compostela, Spain</t>
  </si>
  <si>
    <t>Universidade de Santiago de Compostela; Universidade de Santiago de Compostela</t>
  </si>
  <si>
    <t>Yusty, MAL (corresponding author), Univ Santiago de Compostela, Fac Pharm, Dept Analyt Chem Nutr &amp; Bromatol, Area Nutr &amp; Bromatol, E-15782 Santiago De Compostela, Spain.</t>
  </si>
  <si>
    <t>Lozano, Jesus Angel SLJA Simal/A-7828-2011</t>
  </si>
  <si>
    <t>AOAC INTERNATIONAL</t>
  </si>
  <si>
    <t>GAITHERSBURG</t>
  </si>
  <si>
    <t>481 NORTH FREDRICK AVE, STE 500, GAITHERSBURG, MD 20877-2504 USA</t>
  </si>
  <si>
    <t>1060-3271</t>
  </si>
  <si>
    <t>J AOAC INT</t>
  </si>
  <si>
    <t>J. AOAC Int.</t>
  </si>
  <si>
    <t>Chemistry, Analytical; Food Science &amp; Technology</t>
  </si>
  <si>
    <t>522JN</t>
  </si>
  <si>
    <t>WOS:000173893000020</t>
  </si>
  <si>
    <t>Lam, MM; Rodger, AS</t>
  </si>
  <si>
    <t>The effect of Forbush decreases on tropospheric parameters over South Pole</t>
  </si>
  <si>
    <t>Forbush decrease of galactic cosmic rays; troposphere; atmosphere; Antarctica; climate variability; solar variability</t>
  </si>
  <si>
    <t>SOLAR VARIABILITY; EARTHS CLIMATE; COSMIC-RAYS; TEMPERATURE; IRRADIANCE; ATMOSPHERE; FLUX</t>
  </si>
  <si>
    <t>Egorova et al. (2000) conclude that Forbush decreases (FDs) in galactic cosmic rays have a significant effect on the atmosphere at Antarctic station Vostok (78.5degreesS, 106.9degreesE) via the mechanism of electrofreezing. We present the results of a similar study at South Pole (90.0degreesS), located similar to 1000 km from Vostok, which has been conducted in order to examine the spatial extent of this phenomenon. Both Vostok and South Pole are ideal locations at which to search for such an effect since they are subject to relatively stable weather regimes. We find no observable effect of FDs on the atmosphere above South Pole. We discuss possible reasons for the disagreement between the results of the two studies and conclude that it is due to differences in methodology. (C) 2002 Elsevier Science Ltd. All rights reserved.</t>
  </si>
  <si>
    <t>Lam, MM (corresponding author), British Antarctic Survey, High Cross,Madingley Rd, Cambridge CB3 0ET, England.</t>
  </si>
  <si>
    <t>10.1016/S1364-6826(01)00092-X</t>
  </si>
  <si>
    <t>513LD</t>
  </si>
  <si>
    <t>WOS:000173379100005</t>
  </si>
  <si>
    <t>Smith, RIL; Convey, P</t>
  </si>
  <si>
    <t>Enhanced sexual reproduction in bryophytes at high latitudes in the maritime Antarctic</t>
  </si>
  <si>
    <t>JOURNAL OF BRYOLOGY</t>
  </si>
  <si>
    <t>bryophytes; Antarctic; sporophytes; sexual reproduction; spores; dispersal</t>
  </si>
  <si>
    <t>ALEXANDER-ISLAND; MOSSES; DISPERSAL; SPORES</t>
  </si>
  <si>
    <t>Contrary to the generally accepted hypothesis that bryophyte fertility decreases with increasing latitude and therefore climatic severity, a detailed study of bryophyte reproductive strategies at sites in the southern maritime Antarctic (168-72 S) has revealed that an unexpectedly high proportion of species is capable of producing sporophytes. Of the regional bryoflora, 43% (19 species; 17 mosses, 2 liverworts) in Marguerite Bay and 47% (17 species' 16 mosses, 1 liverwort) in Alexander Island are known to produce sporophytes. although the number fruiting at comparable latitudes on the colder and more and Antarctic continent is less (33%), These numbers and proportions are much greater than were previously known at Such relatively high southern polar latitudes, Sporophytes of several species are recorded for the first time within the Antarctic biome, while those of two liverworts (Lophozia excisa and Cephaloziella varians) are reported for the first time south of 62degreesS. High incidence of sporophyte production is attributed to locally favourable microclimatic conditions producing small-scale oases The large majority of fertile mosses are monoecious short acrocarps growing on rather calcareous soils. Spore production and size data for a number of species are compared with previously published studies of the same or closely related species from the northern maritime Antarctic and sub-Antarctic, but no consistent trends are revealed between species over the latitudinal gradient.</t>
  </si>
  <si>
    <t>Smith, RIL (corresponding author), British Antarctic Survey, NERC, High Cross,Madingley Rd, Cambridge CB3 0ET, England.</t>
  </si>
  <si>
    <t>Convey, Peter/AAV-5728-2020</t>
  </si>
  <si>
    <t>Convey, Peter/0000-0001-8497-9903</t>
  </si>
  <si>
    <t>0373-6687</t>
  </si>
  <si>
    <t>J BRYOL</t>
  </si>
  <si>
    <t>J. Bryol.</t>
  </si>
  <si>
    <t>10.1179/037366802125000962</t>
  </si>
  <si>
    <t>575NV</t>
  </si>
  <si>
    <t>WOS:000176954700001</t>
  </si>
  <si>
    <t>Kwok, R; Comiso, JC</t>
  </si>
  <si>
    <t>Southern Ocean climate and sea ice anomalies associated with the Southern Oscillation</t>
  </si>
  <si>
    <t>ANTARCTIC CIRCUMPOLAR WAVE; INTERANNUAL VARIABILITY; ATMOSPHERE; TELECONNECTIONS; TEMPERATURE; TRENDS; SIGNAL; MODEL</t>
  </si>
  <si>
    <t>The anomalies in the climate and sea ice cover of the Southern Ocean and their relationships with the Southern Oscillation (SO) are investigated using a 17-yr dataset from 1982 to 1998. The polar climate anomalies are correlated with the Southern Oscillation index (SOI) and the composites of these anomalies are examined under the positive (SOI &gt; 0), neutral (0 &gt; SOI &gt; -1), and negative (SOI &lt; -1) phases of SOI. The climate dataset consists of sea level pressure, wind, surface air temperature, and sea surface temperature fields, while the sea ice dataset describes its extent, concentration, motion, and surface temperature. The analysis depicts, for the first time, the spatial variability in the relationship of the above variables with the SOI. The strongest correlation between the SOI and the polar climate anomalies are found in the Bellingshausen, Amundsen, and Ross Seas. The composite fields reveal anomalies that are organized in distinct large-scale spatial patterns with opposing polarities at the two extremes of SOI, and suggest oscillations that are closely linked to the SO. Within these sectors, positive (negative) phases of the SOI are generally associated with lower (higher) sea level pressure, cooler (warmer) surface air temperature, and cooler (warmer) sea surface temperature in these sectors. Associations between these climate anomalies and the behavior of the Antarctic sea ice cover are evident. Recent anomalies in the sea ice cover that are clearly associated with the SOI include the following: the record decrease in the sea ice extent in the Bellingshausen Sea from mid-1988 to early 1991; the relationship between Ross Sea SST and the ENSO signal, and reduced sea ice concentration in the Ross Sea; and the shortening of the ice season in the eastern Ross Sea, Amundsen Sea, far western Weddell Sea and lengthening of the ice season in the western Ross Sea, Bellinghausen Sea, and central Weddell Sea gyre during the period 1988-94. Four ENSO episodes over the last 17 years contributed to a negative mean in the SOI (-0.5). In each of these episodes, significant retreats in ice cover of the Bellingshausen and Amundsen Seas were observed showing a unique association of this region of the Antarctic with the Southern Oscillation.</t>
  </si>
  <si>
    <t>CALTECH, Jet Prop Lab, Pasadena, CA 91109 USA; NASA, Goddard Space Flight Ctr, Greenbelt, MD 20771 USA</t>
  </si>
  <si>
    <t>National Aeronautics &amp; Space Administration (NASA); NASA Jet Propulsion Laboratory (JPL); California Institute of Technology; National Aeronautics &amp; Space Administration (NASA); NASA Goddard Space Flight Center</t>
  </si>
  <si>
    <t>ron.kwok@jpl.nasa.gov</t>
  </si>
  <si>
    <t>Kwok, Ron/A-9762-2008; Kwok, Ronald/L-3968-2019</t>
  </si>
  <si>
    <t>Kwok, Ron/0000-0003-4051-5896; Kwok, Ronald/0000-0003-4051-5896</t>
  </si>
  <si>
    <t>10.1175/1520-0442(2002)015&lt;0487:SOCASI&gt;2.0.CO;2</t>
  </si>
  <si>
    <t>519QX</t>
  </si>
  <si>
    <t>WOS:000173737900003</t>
  </si>
  <si>
    <t>Marshall, GJ</t>
  </si>
  <si>
    <t>Trends in Antarctic geopotential height and temperature: A comparison between radiosonde and NCEP-NCAR reanalysis data</t>
  </si>
  <si>
    <t>MICROWAVE SOUNDING UNIT; NCEP/NCAR REANALYSIS; OZONE DEPLETION; SURFACE; CLIMATE; VARIABILITY; ATMOSPHERE; LATITUDES; PRESSURE; RECORDS</t>
  </si>
  <si>
    <t>A comparison of 40-yr (1960-99) trends in Antarctic geopotential height and temperature from quality controlled radiosonde observations and NCEP-NCAR reanalysis (NNR) data is undertaken. Observations from four Antarctic stations-having sufficiently long-term and consistent datasets-at four pressure levels (850, 500, 300, and 100 hPa) are utilized. The NNR reveals substantial negative trends in tropospheric geopotential height at high southern latitudes with no significant trends seen in the lower stratosphere above Antarctica. In contrast, observations indicate only minor negative trends in tropospheric height, while statistically significant decreases in height in the lower stratosphere have occurred over East Antarctica. However, both NNR and observations show a consistent, significant warming (similar to1degreesC) in the lower troposphere (&gt;500 hPa) above coastal Antarctica. At higher altitudes, trends derived from the two datasets diverge; the NNR fails to capture the marked cooling in the lower stratosphere associated with seasonal ozone loss. Differences in the trends are principally caused by NNR errors prior to the assimilation of satellite sounder data, which coincides with significant jumps in NNR upper-air temperatures. A rapid drop in NNR tropospheric geopotential height across East Antarctica as recently as 1993 is traced to the introduction of automatic weather stations in the region. Errors in the model height of these surface pressure data cause a significant climate jump in the NNR not observed in comparable models. Such spurious jumps considerably diminish the usefulness of the NNR for climate change studies in Antarctica.</t>
  </si>
  <si>
    <t>British Antarctic Survey, NERC, Cambridge CB3 OET, England</t>
  </si>
  <si>
    <t>Marshall, GJ (corresponding author), British Antarctic Survey, NERC, Madingley Rd, Cambridge CB3 OET, England.</t>
  </si>
  <si>
    <t>10.1175/1520-0442(2002)015&lt;0659:TIAGHA&gt;2.0.CO;2</t>
  </si>
  <si>
    <t>524NR</t>
  </si>
  <si>
    <t>WOS:000174020200006</t>
  </si>
  <si>
    <t>Arnould, JPY; Morris, MJ; Rawlins, DR; Boyd, IL</t>
  </si>
  <si>
    <t>Variation in plasma leptin levels in response to fasting in Antarctic fur seals (Arctocephalus gazella)</t>
  </si>
  <si>
    <t>pinnipeds; fasting; leptin; triglyceride; cholesterol</t>
  </si>
  <si>
    <t>OB MESSENGER-RNA; BODY-FAT MASS; FOOD-INTAKE; LACTATION; MILK; EXPRESSION; PROTEIN; GENDER; DIET; REPRODUCTION</t>
  </si>
  <si>
    <t>Plasma leptin levels were determined in 8 lactating female and 20 pup Antarctic fur seals (Arctocephalus ga:ella) during fasting periods of normal duration. Plasma leptin levels ranged from 1.35-3.19 ng.ml(-1) in lactating females and 1.79-4.80 ng.ml(-1) in pups and were not positively correlated with body mass or condition. A negative trend, however, was observed between plasma leptin levels and body condition in lactating females upon their arrival at the colony following a foraging trip (beginning of fast). In accordance with findings in other species, plasma leptin levels dropped significantly (P &lt;0.02) in response to the 17-19% drop in body mass experienced by pups during fasting. In contrast, plasma leptin levels in lactating females increased during the first 24 h of fasting before decreasing throughout the remaining 48 h of the fast. This unexpected result could be due to the high level of energy expenditure by seals as they swim back to the colony (i.e. post-exercise response) or may be influenced by the intense suckling activity experienced by females during the onshore fasting periods. The results of this study support recent findings in other carnivore species which suggest the primary physiological role of leptin in these species may not necessarily be as a signal of the magnitude of body energy reserves.</t>
  </si>
  <si>
    <t>Macquarie Univ, Grad Sch Environm, Marine Mammal Res Grp, Sydney, NSW 2109, Australia; Univ Melbourne, Dept Pharmacol, Melbourne, Vic 3010, Australia; British Antarctic Survey, Cambridge CB3 0ET, England</t>
  </si>
  <si>
    <t>Macquarie University; University of Melbourne; Melbourne Bioinformatics; UK Research &amp; Innovation (UKRI); Natural Environment Research Council (NERC); NERC British Antarctic Survey</t>
  </si>
  <si>
    <t>Morris, Margaret J/J-4285-2013</t>
  </si>
  <si>
    <t>Morris, Margaret/0000-0003-2285-5117</t>
  </si>
  <si>
    <t>505XM</t>
  </si>
  <si>
    <t>WOS:000172940900004</t>
  </si>
  <si>
    <t>Evangelista, H; Pereira, EB</t>
  </si>
  <si>
    <t>Radon flux at King George Island, Antarctic Peninsula</t>
  </si>
  <si>
    <t>JOURNAL OF ENVIRONMENTAL RADIOACTIVITY</t>
  </si>
  <si>
    <t>Antarctic Peninsula; radon; atmospheric tracer</t>
  </si>
  <si>
    <t>RN-222; SOIL; TRANSPORT; DIFFUSION; AIR</t>
  </si>
  <si>
    <t>Fluxes of Rn-222 from the ice-free terrain to the atmosphere were measured directly, for the first time, at the Brazilian Antarctic Station Ferraz during the summer field campaign of 1998/99. Average value for the flux was 7.7 +/- 4.8x10(-2) atoms cm(-2) s(-1) and it ranged between 0.21x10(-2) atoms cm(-2) s(-1) and 28x10(-2) atoms cm(-2) s(-1). The average flux of Rn-220 was estimated to be 23 atoms cm(-2) s(-1), using a combination of two techniques: nuclear track detection and alpha spectrometry of radon daughters. It was found that the production of radon by uranium (41.54 +/- 7.17 Bq kg(-1)) and thorium (57.97 +/- 12.14 Bq kg(-1)) equivalent soil contents, and a diffusion coefficient derived from experimental data for the local terrain could account for this average flux. Nevertheless, the large surges of Rn-222 in the atmosphere frequently observed for that area could not be-explained by this flux only. (C) 2002 Elsevier Science Ltd. All rights reserved.</t>
  </si>
  <si>
    <t>Univ Estado Rio de Janeiro, Lab Ciencias Radiol, DBB, IBRAG, BR-20550013 Rio De Janeiro, Brazil; Inst Nacl Pesquisas Espaciais, DGE, BR-12201970 Sao Jose Dos Campos, Brazil</t>
  </si>
  <si>
    <t>Universidade do Estado do Rio de Janeiro; Instituto Nacional de Pesquisas Espaciais (INPE)</t>
  </si>
  <si>
    <t>Univ Estado Rio de Janeiro, Lab Ciencias Radiol, DBB, IBRAG, Rua Sao Francisco Xavier 524, BR-20550013 Rio De Janeiro, Brazil.</t>
  </si>
  <si>
    <t>heitor@lcr.uerj.br; enio@dge.inpe.br</t>
  </si>
  <si>
    <t>Evangelista, Heitor/C-7561-2013; Pereira, Enio/AAH-3308-2020</t>
  </si>
  <si>
    <t>Pereira, Enio/0000-0002-5095-0085</t>
  </si>
  <si>
    <t>0265-931X</t>
  </si>
  <si>
    <t>1879-1700</t>
  </si>
  <si>
    <t>J ENVIRON RADIOACTIV</t>
  </si>
  <si>
    <t>J. Environ. Radioact.</t>
  </si>
  <si>
    <t>PII S0265-931X(01)00137-0</t>
  </si>
  <si>
    <t>10.1016/S0265-931X(01)00137-0</t>
  </si>
  <si>
    <t>575BM</t>
  </si>
  <si>
    <t>WOS:000176926000003</t>
  </si>
  <si>
    <t>Holdsworth, G; Krouse, HR</t>
  </si>
  <si>
    <t>Altitudinal variation of the stable isotopes of snow in regions of high relief</t>
  </si>
  <si>
    <t>JOURNAL OF GLACIOLOGY</t>
  </si>
  <si>
    <t>ICE-CORE; DEUTERIUM EXCESS; ANTARCTIC SNOW; PRECIPITATION; GREENLAND; ACCUMULATION; TEMPERATURE; SIMULATIONS; DELTA-O-18; PROFILES</t>
  </si>
  <si>
    <t>A major discontinuity in the variation of delta(18)O (deltaD) with altitude in high mountains was first seen in data from Mount Logan, Yukon Territory, Canada (Holdsworth and others, 1991). The profile of delta vs altitude revealed three well-defined regions: (1) a lower, monotonic, fractionation sequence below similar to3 km; (2) a middle layer, typically 1-2 km thick, within which delta values are nearly constant or stepped with altitude, and (3) part of another fractionation sequence in the quasi-geostrophic flow region above similar to5.3 kin. The middle region was inferred to be a mixed layer, combining moisture from regions (1) and (3). This type of structure is now seen to occur on other high-altitude mountains, including Cerro Aconcagua, Argentina, where observations reach almost 7 km. The new observations confirm the general occurrence of a multi-layered atmosphere during precipitation at high-altitude glacier sites. This structure is linked to synoptic-scale polar cyclones, where the middle layer is identified as being the signature of the warm-front zone. These results have implications for the common practice of using a specific, spatially derived, isotopic thermometer in the time domain for the paleoclimatic interpretation of high-altitude ice-core delta records.</t>
  </si>
  <si>
    <t>Univ Calgary, Arctic Inst N Amer, Calgary, AB T2N 1N4, Canada; Univ Calgary, Dept Phys &amp; Astron, Calgary, AB T2N 1N4, Canada</t>
  </si>
  <si>
    <t>University of Calgary; University of Calgary</t>
  </si>
  <si>
    <t>Holdsworth, G (corresponding author), Univ Calgary, Arctic Inst N Amer, Calgary, AB T2N 1N4, Canada.</t>
  </si>
  <si>
    <t>INT GLACIOL SOC</t>
  </si>
  <si>
    <t>0022-1430</t>
  </si>
  <si>
    <t>J GLACIOL</t>
  </si>
  <si>
    <t>J. Glaciol.</t>
  </si>
  <si>
    <t>10.3189/172756502781831638</t>
  </si>
  <si>
    <t>585PX</t>
  </si>
  <si>
    <t>WOS:000177534700004</t>
  </si>
  <si>
    <t>Schlosser, E; van Lipzig, N; Oerter, H</t>
  </si>
  <si>
    <t>Temporal variability of accumulation at Neumayer station, Antarctica, from stake array measurements and a regional atmospheric model</t>
  </si>
  <si>
    <t>SURFACE MASS-BALANCE; ICE; PRECIPITATION; CLIMATE; INFORMATION; ISOTOPES; MOISTURE; RECORD</t>
  </si>
  <si>
    <t>In this study we investigate the ability of the Regional Atmospheric Climate MOdel (RACMO) to represent temporal variations of Antarctic accumulation using weekly stake array measurements from Neumayer Station. The model uses European Centre for Medium-RangeWeather Forecasts re-analysis data to force the atmospheric variables at the lateral boundaries of the model domain. Accumulation is defined as precipitation minus sublimation. Generally the model represents reasonably well the synoptic situations that lead to precipitation. The amounts of accumulation are, however, usually lower in the model than in the measurements. It cannot be determined whether the model underestimates precipitation or whether this effect is due to the redistribution of snow by the wind, which is not taken into account in the model but affects the accumulation at the measuring site. Significant differences between model and measurements also occur in cases of net ablation due to wind erosion or when accumulation at the stakes was due to snowdrift from the southwest without precipitation being observed.</t>
  </si>
  <si>
    <t>Univ Innsbruck, Inst Meteorol &amp; Geophys, A-6020 Innsbruck, Austria; Royal Netherlands Meteorol Inst, NL-3730 AE De Bilt, Netherlands; Alfred Wegener Inst Polar &amp; Marine Res, D-27268 Bremerhaven, Germany</t>
  </si>
  <si>
    <t>University of Innsbruck; Royal Netherlands Meteorological Institute; Helmholtz Association; Alfred Wegener Institute, Helmholtz Centre for Polar &amp; Marine Research</t>
  </si>
  <si>
    <t>Univ Innsbruck, Inst Meteorol &amp; Geophys, Innrain 52, A-6020 Innsbruck, Austria.</t>
  </si>
  <si>
    <t>elisabeth.schlosser@uibk.ac.at</t>
  </si>
  <si>
    <t>van Lipzig, Nicole/ABF-2964-2021</t>
  </si>
  <si>
    <t>van Lipzig, Nicole/0000-0003-2899-4046</t>
  </si>
  <si>
    <t>EDINBURGH BLDG, SHAFTESBURY RD, CB2 8RU CAMBRIDGE, ENGLAND</t>
  </si>
  <si>
    <t>1727-5652</t>
  </si>
  <si>
    <t>10.3189/172756502781831692</t>
  </si>
  <si>
    <t>WOS:000177534700010</t>
  </si>
  <si>
    <t>Hindmarsh, RCA; Le Meur, E</t>
  </si>
  <si>
    <t>Dynamical processes involved in the retreat of marine ice sheets (47, pg 271, 2001)</t>
  </si>
  <si>
    <t>Hindmarsh, RCA (corresponding author), British Antarctic Survey, NERC, High Cross,Madingley Rd, Cambridge CB3 0ET, England.</t>
  </si>
  <si>
    <t>Hindmarsh, Richard/N-1195-2019</t>
  </si>
  <si>
    <t>Hindmarsh, Richard/0000-0003-1633-2416</t>
  </si>
  <si>
    <t>10.3189/172756502781831665</t>
  </si>
  <si>
    <t>WOS:000177534700019</t>
  </si>
  <si>
    <t>Zumberge, MA; Elsberg, DH; Harrison, WD; Husmann, E; Morack, JL; Pettit, EC; Waddington, ED</t>
  </si>
  <si>
    <t>Measurement of vertical strain and velocity at Siple Dome, Antarctica, with optical sensors</t>
  </si>
  <si>
    <t>WEST ANTARCTICA; ICE; FIBER; LAYERS; DEPTH; RADAR</t>
  </si>
  <si>
    <t>As part of a larger program to measure and model vertical strain around Siple Dome on the West Antarctic ice sheet, we developed a new sensor to accurately and stably record displacements. The sensors consist of optical fibers, encased in thin-wall stainless-steel tubes, frozen into holes drilled with hot water, and stretched from the surface to various depths (up to 985 m) in the ice sheet. An optical system, connected annually to the fibers, reads out their absolute lengths with a precision of about 2 mm. Two sets of five sensors were installed in the 1997/98 field season: one set is near the Siple Dome core hole (an ice divide), and a second set is on the flank 7 km to the north (the ice thickness at both sites is approximately 1000 m). The optical-fiber length observations taken in four field seasons spanning a 3 year interval reveal vertical strain rates ranging from -229 +/- 4 ppm a(-1) to -7 +/- 9 ppm a(-1). In addition to confirming a non-linear constitutive relationship for deep ice, our analysis of the strain rates indicates the ice sheet is thinning at the flank and is in steady state at the divide.</t>
  </si>
  <si>
    <t>Univ Calif San Diego, Scripps Inst Oceanog, La Jolla, CA 92093 USA; Univ Alaska, Inst Geophys, Fairbanks, AK 99775 USA; Univ Washington, Dept Earth &amp; Space Sci, Seattle, WA 98195 USA</t>
  </si>
  <si>
    <t>University of California System; University of California San Diego; Scripps Institution of Oceanography; University of Alaska System; University of Alaska Fairbanks; University of Washington; University of Washington Seattle</t>
  </si>
  <si>
    <t>Zumberge, MA (corresponding author), Univ Calif San Diego, Scripps Inst Oceanog, La Jolla, CA 92093 USA.</t>
  </si>
  <si>
    <t>Pettit, Erin Christine/0000-0002-6765-9841</t>
  </si>
  <si>
    <t>10.3189/172756502781831421</t>
  </si>
  <si>
    <t>627PP</t>
  </si>
  <si>
    <t>WOS:000179941700005</t>
  </si>
  <si>
    <t>Whitehead, JM; McKelvey, BC</t>
  </si>
  <si>
    <t>Cenozoic glacigene sedimentation and erosion at the Menzies Range, southern Prince Charles Mountains, Antarctica</t>
  </si>
  <si>
    <t>ICE-SHEET; TRANSANTARCTIC MOUNTAINS; GLACIAL HISTORY; VICTORIA-LAND; DRY-VALLEYS; LANDSCAPE; REGION; CLIMATE; RECORD</t>
  </si>
  <si>
    <t>The Menzies Range in the southern Prince Charles Mountains, Antarctica, records at least four intervals of Cenozoic terrestrial glacigene sedimentation, and two periods of glacial erosion. The oldest Cenozoic strata, here named the Pardoe Formation, are &gt;240 in thick, and consist of variable diamicts with subordinate sandstones and minor laminated lacustrine siltstones. The Pardoe Formation overlies a rugged erosion surface cut into Precambrian basement. Two subsequent Cenozoic sequences are here named informally the Trail diamicts and the younger Amphitheatre diamicts. The latter infilled the lower regions of an extremely rugged erosion surface, many components of which still dominate the present topography. The palaeodrainage of this erosion surface is markedly discordant with that of the older erosion surface underlying the Pardoe Formation. These three depositional events and the two associated erosion surfaces record warmer climates and increased snow accumulation under conditions of temperate wet-based glaciation. During the excavation of the sub-Amphitheatre diamict erosion surface, the East Antarctic ice sheet was either absent, further inland or the height of its surface relative to the Menzies Range was considerably lower than at present. The fourth and youngest depositional episode, recorded by a veneer of boulder gravel distributed along the northern flank of the Menzies Range, is from dry-based glacier ice, and assumed to be &lt;2.6 Myr.</t>
  </si>
  <si>
    <t>Antarctic CRC, Hobart, Tas 7001, Australia; IASOS, Hobart, Tas 7001, Australia; Univ New England, Armidale, NSW 2351, Australia</t>
  </si>
  <si>
    <t>University of New England</t>
  </si>
  <si>
    <t>Whitehead, JM (corresponding author), Univ Nebraska, Dept Geosci, Lincoln, NE 68588 USA.</t>
  </si>
  <si>
    <t>jm_whitehead@hotmail.com</t>
  </si>
  <si>
    <t>10.3189/172756502781831340</t>
  </si>
  <si>
    <t>WOS:000179941700006</t>
  </si>
  <si>
    <t>Rabus, BT; Lang, O</t>
  </si>
  <si>
    <t>On the representation of ice-shelf grounding zones in SAR interferograms</t>
  </si>
  <si>
    <t>SATELLITE-RADAR INTERFEROMETRY; GREENLAND; GLACIER; STREAM</t>
  </si>
  <si>
    <t>We investigate limitations of the one-dimensional elastic-beam model to detect grounding line and thickness of an ice shelf from a differential interferogram. Spatial limitations due to grounding-line curvature and variable ice thickness are analyzed by comparison with two-dimensional plate flexure. Temporal limitations from the tide-dependent shift of the grounding line are analyzed by superpositions of four tidal flexure profiles representing differential interferograms. (1) At scales greater than one ice thickness, seaward protrusions of the grounding line are well represented by the elastic-beam model, while landward embayments of the same scale produce significant misplacements &gt;10% of the ice thickness. (ii) For reasonable spatial variations of shelf thickness, the elastic-beam model gives reliable estimates of grounding-line position and unfractured mean ice thickness near the grounding line. (iii) For about 20% of superpositions of four tidal flexure profiles, the resulting grounding-line misplacements exceed the physical tidal shift of the grounding line by factors &gt;2. For differential tide levels &lt;10% of a 1 m tide dynamics, a physical shift of the grounding line of 0.3 km per metre of tide can lever misplacements of &gt;2 km. Examples of real interferometric profiles from West Antarctic ice shelves corroborate our results.</t>
  </si>
  <si>
    <t>German Remote Sensing Ctr DFD, D-82234 Wessling, Germany</t>
  </si>
  <si>
    <t>Rabus, BT (corresponding author), German Remote Sensing Ctr DFD, D-82234 Wessling, Germany.</t>
  </si>
  <si>
    <t>10.3189/172756502781831197</t>
  </si>
  <si>
    <t>653VK</t>
  </si>
  <si>
    <t>WOS:000181457600001</t>
  </si>
  <si>
    <t>Gay, M; Fily, M; Genthon, C; Frezzotti, M; Oerter, H; Winther, JG</t>
  </si>
  <si>
    <t>Snow grain-size measurements in Antarctica</t>
  </si>
  <si>
    <t>COVER; MODEL; SNOWPACKS; ALPS</t>
  </si>
  <si>
    <t>Grain-size is an important but not well-known characteristic of snow at the surface of Antarctica. In the past, grain-size has been reported using various methods, the reliability, reproducibility and intercomparability of which is not warranted. In this paper, we present and recommend, depending on available logistical support, three techniques of snow-grain sampling and/or imaging in the field as well as an original digital image-processing method, which we have proved provides reproducible and intercomparable measures of a snow grain-size parameter, the mean convex radius. Results from more than 500 samples and 3000 Images of snow grains are presented, which yield a still spatially limited yet unprecedentedly wide picture of near-surface snow grain-size distribution from fieldwork in Antarctica. In particular, except at sites affected by a very particular meteorology, surface grains in the interior of the ice sheet are uniformly small (0.1-0.2 mm). The climate-related increase of grain-size with depth through metamorphism is, as expected, not spatially uniform. Our Antarctic snow grain-size database will continue to grow as field investigations bring new samples, images and measures of snow grain.</t>
  </si>
  <si>
    <t>CNRS, Lab Glaciol &amp; Geophys Environm, F-38402 St Martin Dheres, France; Norwegian Polar Res Inst, Polar Environm Ctr, N-9296 Tromso, Norway; Alfred Wegener Inst Polar &amp; Marine Res, D-27515 Bremerhaven, Germany; ENEA, Ctr Ric Casaccia, I-00100 Rome, Italy; Cemagref, F-38402 St Martin Dheres, France</t>
  </si>
  <si>
    <t>Centre National de la Recherche Scientifique (CNRS); Norwegian Polar Institute; Helmholtz Association; Alfred Wegener Institute, Helmholtz Centre for Polar &amp; Marine Research; Italian National Agency New Technical Energy &amp; Sustainable Economics Development; INRAE</t>
  </si>
  <si>
    <t>Gay, M (corresponding author), CNRS, Lab Glaciol &amp; Geophys Environm, 54 Rue Moliere,BP 96, F-38402 St Martin Dheres, France.</t>
  </si>
  <si>
    <t>Gay, Michel/AAK-6336-2021; FREZZOTTI, Massimo/AAK-7275-2020</t>
  </si>
  <si>
    <t>FREZZOTTI, Massimo/0000-0002-2461-2883</t>
  </si>
  <si>
    <t>10.3189/172756502781831016</t>
  </si>
  <si>
    <t>692AL</t>
  </si>
  <si>
    <t>WOS:000183638100005</t>
  </si>
  <si>
    <t>Pattyn, F; Derauw, D</t>
  </si>
  <si>
    <t>Ice-dynamic conditions of Shirase Glacier, Antarctica, inferred from ERS SAR interferometry</t>
  </si>
  <si>
    <t>EAST ANTARCTICA; FORCE BUDGET; MAUD-LAND; FLOW; SHEET; JUTULSTRAUMEN; BALANCE; RADAR</t>
  </si>
  <si>
    <t>The surface velocity field of Shirase Glacier, a fast-flowing East Antarctic outlet glacier, is determined from ERS synthetic aperture radar (SAR) images by means of speckle tracking using phase correlation, a technique which matches small image kernels of two complex SAR images by maximization of the local coherence. Velocity estimates are used to calculate surface strain rates, which are then used to calculate the large-scale, vertically integrated force balance and to determine the major stress components resisting the driving stress. For the whole glacier system, the driving stress is largely balanced by the basal drag, but with contributions from lateral drag up to 15% of the driving stress at the grounding line. Longitudinal stress gradients have only local importance to the balance of forces, limited to an area of a few square kilometers near the grounding line, where they resist the driving stress. In the grounded part of the glacier, &gt;90% of the total ice velocity is due to basal sliding. Comparison with a balance-flux distribution of the Antarctic ice sheet suggests that the glacier in the downstream part of the Shirase drainage basin is close to equilibrium, showing a slight negative imbalance.</t>
  </si>
  <si>
    <t>Free Univ Brussels, Geog Inst, B-1050 Brussels, Belgium; Univ Liege, CSL, B-4031 Angleur, Belgium</t>
  </si>
  <si>
    <t>Universite Libre de Bruxelles; University of Liege</t>
  </si>
  <si>
    <t>Pattyn, F (corresponding author), Free Univ Brussels, Geog Inst, Pl Laan 2, B-1050 Brussels, Belgium.</t>
  </si>
  <si>
    <t>fpattyn@vub.ac.be</t>
  </si>
  <si>
    <t>Pattyn, Frank/AAA-9640-2019</t>
  </si>
  <si>
    <t>Pattyn, Frank/0000-0003-4805-5636; Derauw, Dominique/0000-0002-8354-100X</t>
  </si>
  <si>
    <t>10.3189/172756502781831115</t>
  </si>
  <si>
    <t>WOS:000183638100009</t>
  </si>
  <si>
    <t>Gudmundsson, GH</t>
  </si>
  <si>
    <t>Observations of a reversal in vertical and horizontal strain-rate regime during a motion event on Unteraargletscher, Bernese Alps, Switzerland</t>
  </si>
  <si>
    <t>SHORT-TERM VARIATIONS; VARIEGATED GLACIER; MINI-SURGES; CONFLUENCE AREA; ICE DEFORMATION; WATER STORAGE; VELOCITY; ALASKA; STORGLACIAREN; SWEDEN</t>
  </si>
  <si>
    <t>During a motion event on Unteraargletscher, Bernese Alps, Switzerland, in spring 1996, surface velocities were measured up to eight times a day at four different locations along the central flowline using global positioning system equipment. In addition, accumulated vertical strains over the uppermost 50 and 100 m were measured at a location where the total ice thickness is 260 m. The motion event was accompanied by high horizontal and vertical strain rates as compared to annual mean values. A reversal in strain regime was observed, with horizontal strain rates changing to extension while vertical strain rates became compressive. This strain-rate reversal coincided, within the temporal resolution of the data, with a maximum in vertical ice displacement at the surface. Within a day, variations in vertical strain from 0.04 a(-1) to -0.06 a(-1) were observed over the uppermost 100 m. Vertical stretching is estimated to have contributed to at least 20% of the anomalous vertical ice movement at the surface. There were significant differences between measured longitudinal strain, averaged over a distance corresponding to a few ice thicknesses, and measured vertical strain. In spring 1997 a similar, but more detailed, set of measurements was collected at the same measuring site, and vertical strain rates were found to vary non-uniformly with depth, with the largest values closest to the surface.</t>
  </si>
  <si>
    <t>British Antarctic Survey, NERC, Cambridge CB3 0ET, England; ETH Zentrum, VAW, Sect Glaciol, CH-8092 Zurich, Switzerland</t>
  </si>
  <si>
    <t>UK Research &amp; Innovation (UKRI); Natural Environment Research Council (NERC); NERC British Antarctic Survey; Swiss Federal Institutes of Technology Domain; ETH Zurich</t>
  </si>
  <si>
    <t>Gudmundsson, GH (corresponding author), British Antarctic Survey, NERC, Madingley Rd, Cambridge CB3 0ET, England.</t>
  </si>
  <si>
    <t>Gudmundsson, Gudmundur Hilmar/F-6499-2012; Gudmundsson, Gudmundur Hilmar/AAU-5987-2020</t>
  </si>
  <si>
    <t>Gudmundsson, Gudmundur Hilmar/0000-0003-4236-5369; Gudmundsson, Gudmundur Hilmar/0000-0003-4236-5369</t>
  </si>
  <si>
    <t>10.3189/172756502781831043</t>
  </si>
  <si>
    <t>WOS:000183638100010</t>
  </si>
  <si>
    <t>Van Lipzig, NPM; Van Meijgaard, E; Oerlemans, J</t>
  </si>
  <si>
    <t>The effect of temporal variations in the surface mass balance and temperature-inversion strength on the interpretation of ice-core signals</t>
  </si>
  <si>
    <t>DRONNING-MAUD-LAND; REGIONAL ATMOSPHERIC MODEL; CLIMATIC INFORMATION; CENTRAL GREENLAND; STABLE ISOTOPES; ANTARCTICA; PRECIPITATION; ACCUMULATION; VARIABILITY; RECORD</t>
  </si>
  <si>
    <t>The proxy for temperature (6 signal) in ice cores is stored in the snow/ice during precipitation events and hence reflects the temperature at which precipitation is formed (here approximated by the inversion temperature T-i) weighted with the accumulation. Results from a 14 year integration (1980-93) with a regional atmospheric model (RACMO, DeltaX 55 km) show that the annual mean accumulation-weighted inversion temperature (T-i,T-w) and the annual mean Ti are not covariant in time at four out of the five deep-drilling sites considered, mainly due to year-to-year variations in the seasonality of precipitation. As a consequence, the surface temperature (T-s,T-core) derived from RACMO output, using a method analogous to the retrieval of the surface temperature from ice-core delta signals, deviates from the directly modelled surface temperature T-s on interannual time-scales. Results from a 5 year sensitivity integration, forced with a 2 K temperature increase, show an 18% overestimation of the increase in T-s,T-core relative to the increase in T-s due to a change in the relationship between the inversion strength and the surface temperature in a different climate regime. Similar errors may occur in deriving the temperature difference between Last Glacial Maximum and present-day climate from delta signals in ice cores.</t>
  </si>
  <si>
    <t>Inst Marine &amp; Atmospher Res Utrecht, NL-3508 TA Utrecht, Netherlands; Royal Netherlands Meteorol Inst, KNMI, NL-3730 AE De Bilt, Netherlands</t>
  </si>
  <si>
    <t>Utrecht University; Royal Netherlands Meteorological Institute</t>
  </si>
  <si>
    <t>Van Lipzig, NPM (corresponding author), British Antarctic Survey, High Cross,Madingley Rd, Cambridge CB3 0ET, England.</t>
  </si>
  <si>
    <t>van Lipzig, Nicole/ABF-2964-2021; Oerlemans, Johannes/G-3802-2011</t>
  </si>
  <si>
    <t>van Lipzig, Nicole/0000-0003-2899-4046;</t>
  </si>
  <si>
    <t>10.3189/172756502781831106</t>
  </si>
  <si>
    <t>WOS:000183638100015</t>
  </si>
  <si>
    <t>Carsey, F; Behar, A; Lane, AL; Realmuto, V; Engelhardt, H</t>
  </si>
  <si>
    <t>A borehole camera system for imaging the deep interior of ice sheets</t>
  </si>
  <si>
    <t>The design and first deployment is described for the Jet Propulsion Laboratory-California Institute of Technology ice borehole camera system for acquisition of down-looking and side-looking images in a borehole made by a hot-water drill. The objective of the system is to acquire images in support of studies of the basal dynamics and thermodynamics of West Antarctic ice streams. A few sample images, obtained during the 2000/01 Antarctic field season, are shown from the basal layers of Ice Stream C.</t>
  </si>
  <si>
    <t>CALTECH, Jet Prop Lab, Pasadena, CA 91109 USA; CALTECH, Div Geol &amp; Planetary Sci, Pasadena, CA 91125 USA</t>
  </si>
  <si>
    <t>California Institute of Technology; National Aeronautics &amp; Space Administration (NASA); NASA Jet Propulsion Laboratory (JPL); California Institute of Technology</t>
  </si>
  <si>
    <t>frank.d.carsey@jpl.nasa.gov</t>
  </si>
  <si>
    <t>Realmuto, Vincent/AAJ-2517-2020</t>
  </si>
  <si>
    <t>10.3189/172756502781831124</t>
  </si>
  <si>
    <t>WOS:000183638100016</t>
  </si>
  <si>
    <t>Hughes, CW</t>
  </si>
  <si>
    <t>Sverdrup-like theories of the Antarctic Circumpolar Current</t>
  </si>
  <si>
    <t>OBSCURANTIST PHYSICS; FORM DRAG; SIMPLE-MODEL; OCEAN; CIRCULATION</t>
  </si>
  <si>
    <t>Two Sverdrup-like theories of the Antarctic Cirumpolar Current (ACC) have been proposed, due to Stommel and Webb, both of which assume an idealized geometry for the Southern Ocean in which all latitudes are blocked by either continents or effective continents consisting of major topographic features. However, the two models predict quite different dependencies of the ACC transport on wind stress: Stommel's model predicting transport proportional to wind stress curl, and Webb's model predicting transport proportional to the zonal wind stress. A generalization of Webb's model is shown to be equivalent to Godfrey's Island Rule, applied to an island straddling the South Pole. With realistic geometry, the strength of the ACC cannot be calculated, but a relationship can be derived which involves the transport in the western boundary current east of South America. It is shown that, if zonal wind stress is entirely balanced by form stress in Drake Passage, this transport is determined by wind stress curl as in Stommel's model. If there is no form stress supported by topography in Drake Passage, then a version of Webb's model applies, and the boundary current transport is determined by zonal wind stress. In the real Southern Ocean, neither of these extreme cases can be expected to apply, and the boundary current transport will, therefore, depend on both wind stress and distribution of form stress. The latter can only be calculated diagnostically from a more complete solution.</t>
  </si>
  <si>
    <t>cwh@pol.ac.uk</t>
  </si>
  <si>
    <t>Hughes, Chris W/A-3791-2010; Hughes, Chris/GQP-7479-2022</t>
  </si>
  <si>
    <t>Hughes, Chris W/0000-0002-9355-0233;</t>
  </si>
  <si>
    <t>10.1357/002224002762341221</t>
  </si>
  <si>
    <t>523PR</t>
  </si>
  <si>
    <t>WOS:000173964700001</t>
  </si>
  <si>
    <t>Killworth, PD; Hughes, CW</t>
  </si>
  <si>
    <t>The Antarctic Circumpolar Current as a free equivalent-barotropic jet</t>
  </si>
  <si>
    <t>OBSCURANTIST PHYSICS; FORM DRAG; BOTTOM TOPOGRAPHY; OCEAN CIRCULATION; SOUTHERN-OCEAN; MODEL</t>
  </si>
  <si>
    <t>Following the observation of Killworth that the time-mean velocity in FRAM was self-similar in the vertical, several papers have developed circulation theories of the Southern Ocean assuming such a structure. This paper seeks to create a consistent equivalent-barotropic solution for flow in part of the Southern Ocean, based on an expansion in which the northward variation of Coriolis parameter f is, in a sense, fairly weak. Such a solution only holds in regions of closed contours of a certain characteristic function of f and depth H (the equivalent-barotropic version of f/H, wherein the dependence on H is considerably weakened). Inside these contours, which roughly delineate the Antarctic Circumpolar Current, the flow is strong and takes the equivalent-barotropic form, with all quantities approximately constant along the characteristic, including density below the mixed layer. The theory assumes the vertical structure has been determined by matching with a global solution. The ACC strength can be determined, given the topography and the vertical structure, from a linear second-order ordinary differential equation, under either of two assumptions: that the topography varies weakly with position, or that the horizontal flow is weak at depth. Solutions are not shown here, as they would be similar in form, but cannot be identical to, those of Krupitsky et al. (1996). Instead, the predictions of the theory are compared with OCCAM output. Excellent agreement is found. As in FRAM, the horizontal velocity at all depths is self-similar, but only within the closed-contour region of the ACC. The characteristic function can be deduced from the shape of the self-similar velocity profile. Contours of free surface height and density at any depth overlay well, and these contours lie along contours of the characteristic function as predicted. Local term balances agree well with FRAM analyses by Wells and de Cuevas (1995), but integrated balances do not.</t>
  </si>
  <si>
    <t>Southampton Oceanog Ctr, Empress Dock, Southampton SO14 3ZH, Hants, England.</t>
  </si>
  <si>
    <t>p.killworth@soc.soton.ac.uk; cwh@pol.ac.uk</t>
  </si>
  <si>
    <t>Hughes, Chris/GQP-7479-2022; Hughes, Chris W/A-3791-2010</t>
  </si>
  <si>
    <t>Hughes, Chris W/0000-0002-9355-0233</t>
  </si>
  <si>
    <t>10.1357/002224002762341230</t>
  </si>
  <si>
    <t>WOS:000173964700002</t>
  </si>
  <si>
    <t>Marshall, DJ; Pugh, PJA</t>
  </si>
  <si>
    <t>Fortuynia (Acari: Oribatida: Ameronothroidea) from the marine littoral of southern Africa</t>
  </si>
  <si>
    <t>Acari; Ameronothroidea; Fortuynia; marine mites</t>
  </si>
  <si>
    <t>Three new taxa of the oribatid mite genus Fortuynia van der Hammen, 1960 (Ameronothroidea) were collected from the rocky shores and mangroves of southeastern Africa. These taxa, F. inhambanensis sp. nov., F. rotunda sp. nov. and F. elamellata micromorpha subsp. nov., are described and a key for the genus Fortuynia is presented.</t>
  </si>
  <si>
    <t>Univ Durban Westville, Sch Life &amp; Environm Sci, ZA-4000 Durban, South Africa; British Antarctic Survey, NERC, Cambridge CB3 0ET, England</t>
  </si>
  <si>
    <t>University of Kwazulu Natal; UK Research &amp; Innovation (UKRI); Natural Environment Research Council (NERC); NERC British Antarctic Survey</t>
  </si>
  <si>
    <t>Marshall, DJ (corresponding author), Univ Durban Westville, Sch Life &amp; Environm Sci, P Bag X54001, ZA-4000 Durban, South Africa.</t>
  </si>
  <si>
    <t>Marshall, David/0000-0003-3771-5950</t>
  </si>
  <si>
    <t>10.1080/00222930010002775</t>
  </si>
  <si>
    <t>512CE</t>
  </si>
  <si>
    <t>WOS:000173302900004</t>
  </si>
  <si>
    <t>Lane, CM; Taffs, KH</t>
  </si>
  <si>
    <t>The LOG corer - a new device for obtaining short cores in soft lacustrine sediments</t>
  </si>
  <si>
    <t>JOURNAL OF PALEOLIMNOLOGY</t>
  </si>
  <si>
    <t>coring equipment; lakes; paleolimnology; sediments; lacustrine</t>
  </si>
  <si>
    <t>FINE-GRAINED SEDIMENTS; LAKE-SEDIMENTS; COMPRESSION; HOLOCENE; DRIVEN</t>
  </si>
  <si>
    <t>A wide variety of scientific disciplines require representative samples of benthic sediment. As a result, a large range of sampling devices have been developed, each best suited to a particular set of conditions. However, all sediment sampling devices have inherent design problems that affect the degree to which samples represent the intact sediment. These issues are summarised, and a new corer design (the LOG corer) is presented and discussed. The LOG corer is a remotely-operated light-weight gravity corer suitable for obtaining relatively undisturbed short sediment cores in soft lacustrine sediments.</t>
  </si>
  <si>
    <t>Univ Tasmania, Inst Antarctic &amp; So Ocean Studies, Hobart, Tas 7001, Australia; So Cross Univ, Sch Resource Sci &amp; Management, Lismore, NSW 2480, Australia</t>
  </si>
  <si>
    <t>University of Tasmania; Southern Cross University</t>
  </si>
  <si>
    <t>Lane, CM (corresponding author), Univ Tasmania, Inst Antarctic &amp; So Ocean Studies, GPO Box 252-77, Hobart, Tas 7001, Australia.</t>
  </si>
  <si>
    <t>Taffs, Kathryn/Q-4802-2017</t>
  </si>
  <si>
    <t>Taffs, Kathryn/0000-0001-7675-0420</t>
  </si>
  <si>
    <t>0921-2728</t>
  </si>
  <si>
    <t>J PALEOLIMNOL</t>
  </si>
  <si>
    <t>J. Paleolimn.</t>
  </si>
  <si>
    <t>10.1023/A:1013547028068</t>
  </si>
  <si>
    <t>Environmental Sciences; Geosciences, Multidisciplinary; Limnology</t>
  </si>
  <si>
    <t>Environmental Sciences &amp; Ecology; Geology; Marine &amp; Freshwater Biology</t>
  </si>
  <si>
    <t>508KD</t>
  </si>
  <si>
    <t>WOS:000173086500011</t>
  </si>
  <si>
    <t>Karsten, R; Jones, H; Marshall, J</t>
  </si>
  <si>
    <t>The role of eddy transfer in setting the stratification and transport of a circumpolar current</t>
  </si>
  <si>
    <t>SOUTHERN-OCEAN; GEOSTROPHIC EDDIES; MOMENTUM BALANCE; DEACON CELL; DYNAMICS; MODEL; PARAMETERIZATION; CIRCULATION</t>
  </si>
  <si>
    <t>High resolution numerical experiments of a circumpolar current are diagnosed to study how lateral and vertical transfer of buoyancy by geostrophic eddies balances advection by a meridional circulation driven by surface wind stresses and buoyancy fluxes. A theory is developed in the framework of the residual circulation to relate the vertical and horizontal stratification set up to the transfer properties of eddies and the patterns of imposed wind and buoyancy forcing. Simple expressions are found for the depth of penetration stratification baroclinic, transport, and residual circulation of the current. Finally, the ideas are applied to the Antarctic Circumpolar Current (ACC) and yield predictions for how its properties depend on wind and buoyancy forcing.</t>
  </si>
  <si>
    <t>Acadia Univ, Dept Math &amp; Stat, Wolfville, NS B0P 1X0, Canada; MIT, Dept Earth Atmospher &amp; Planetary Sci, Cambridge, MA USA</t>
  </si>
  <si>
    <t>Acadia University; Massachusetts Institute of Technology (MIT)</t>
  </si>
  <si>
    <t>Acadia Univ, Dept Math &amp; Stat, Wolfville, NS B0P 1X0, Canada.</t>
  </si>
  <si>
    <t>Jones, Helen/C-6798-2013</t>
  </si>
  <si>
    <t>Karsten, Richard/0000-0003-0514-8533</t>
  </si>
  <si>
    <t>10.1175/1520-0485(2002)032&lt;0039:TROETI&gt;2.0.CO;2</t>
  </si>
  <si>
    <t>511HC</t>
  </si>
  <si>
    <t>WOS:000173257700020</t>
  </si>
  <si>
    <t>Makinson, K</t>
  </si>
  <si>
    <t>Modeling tidal current profiles and vertical mixing beneath Filchner-Ronne Ice Shelf, Antarctica</t>
  </si>
  <si>
    <t>OCEAN CIRCULATION; CRITICAL LATITUDE; WEDDELL SEA; BARENTS-SEA; STRATIFICATION; TRANSPORT; ROTATION; REGIONS; TIDES; FLOWS</t>
  </si>
  <si>
    <t>One of the warmest water masses beneath Filchner-Ronne Ice Shelf (FRIS) is dense, high salinity shelf water (HSSW) that flows into the sub-ice-shelf cavity from the ice front and occupies the lower portion of the water column. A one-dimensional turbulence closure ocean model has been applied to this high latitude sub-ice-shelf environment to demonstrate that tidal currents mix HSSW vertically through the water column and cause melting at the bottom of the ice shelf. Significantly FRIS lies near the critical latitude for the semidiurnal tide, where the Coriolis frequency equals the tidal frequency, resulting in a strongly depth-dependent tidal current and thick boundary layers. Using the model, the effect of the critical latitude, stratification, and the polarization of the tidal current ellipse on boundary layer structure and subsequent vertical mixing are examined. The model shows that stratification significantly affects how the shape of the tidal current ellipse varies with depth and that both the depth to which the pycnocline initially develops and the longer term melt rates are highly dependent on tidal current ellipse polarization. The sensitivity to both the stratification and the polarization are due, in large part, to the proximity of the critical latitude. Positive polarizations (anticlockwise rotating current vectors) quickly develop deeper pycnoclines and maintain higher melt rates than negative polarizations (clockwise rotating current vectors). For many areas beneath FRIS the polarization ranges from -0.3 to +0.3; here the modeled pycnocline development is sensitive to polarization, though the effect on the time-averaged melt rate is suppressed for positive polarizations. However, in key areas where the polarization exceeds +/-0.3 and the ellipses are more open and circular, the effects of polarization are significant. Levels of tidal mixing and associated melting vary by more than an order of magnitude over the whole tidal ellipse polarization range, showing that very different mixing and melting regimes are present beneath FRIS.</t>
  </si>
  <si>
    <t>kmak@bas.ac.uk</t>
  </si>
  <si>
    <t>Makinson, Keith/A-2495-2013</t>
  </si>
  <si>
    <t>Makinson, Keith/0000-0002-5791-1767</t>
  </si>
  <si>
    <t>10.1175/1520-0485(2002)032&lt;0202:MTCPAV&gt;2.0.CO;2</t>
  </si>
  <si>
    <t>Bronze, Green Accepted</t>
  </si>
  <si>
    <t>WOS:000173257700011</t>
  </si>
  <si>
    <t>McElwain, JC; Mayle, FE; Beerling, DJ</t>
  </si>
  <si>
    <t>Stomatal evidence for a decline in atmospheric CO2 concentration during the Younger Dryas stadial:: a comparison with Antarctic ice core records</t>
  </si>
  <si>
    <t>atmospheric carbon dioxide concentration; stomatal density; Younger Dryas; Atlantic Canada</t>
  </si>
  <si>
    <t>LAST DEGLACIATION; CARBON-CYCLE; EVENT; CLIMATE; HOLOCENE; DENSITY; RESPONSES; LEAVES; CANADA; IMPACT</t>
  </si>
  <si>
    <t>A recent high-resolution record of Late-glacial CO2 change from Dome Concordia in Antarctica reveals a trend of increasing CO2 across the Younger Dryas stadial (GS-1). These results are in good agreement with previous Antarctic ice-core records. However, they contrast markedly with a proxy CO2 record based on the stomatal approach to CO, reconstruction, which records a ca. 70 ppm mean CO2 decline at the onset of GS-1. To address these apparent discrepancies we tested the validity of the stomatal-based CO2 reconstructions from Krakenes by obtaining further proxy CO2 records based on a similar approach using fossil leaves from two independent lakes journal of Quaternary Science in Atlantic Canada. Our Late-glacial CO2 reconstructions reveal an abrupt ca. 77 ppm decrease in atmospheric CO2 at the onset of the Younger Dryas stadial, which lagged climatic cooling by ca. 130 yr. Furthermore, the trends recorded in the most accurate high-resolution ice-core record of CO2, from Dome Concordia, can be reproduced from our stomatal-based CO2 records, when time-averaged by the mean age distribution of air contained within Dome Concordia ice (200 to 550 yr). If correct, our results indicate an abrupt drawdown of atmospheric CO2 within two centuries at the onset of GS-1, suggesting that some re-evaluation of the behaviour of atmospheric CO2 sinks and sources during times of rapid climatic change, such as the Late-glacial, may be required. Copyright (C) 2002 John Wiley Sons, Ltd.</t>
  </si>
  <si>
    <t>Univ Sheffield, Dept Anim &amp; Plant Sci, Sheffield S10 2TN, S Yorkshire, England; Univ Leicester, Dept Geog, Leicester LE1 7RH, Leics, England</t>
  </si>
  <si>
    <t>University of Sheffield; University of Leicester</t>
  </si>
  <si>
    <t>McElwain, JC (corresponding author), Field Museum Nat Hist, Dept Geol, 1400 S Lake Shore Dr, Chicago, IL 60605 USA.</t>
  </si>
  <si>
    <t>McElwain, Jenny/AAX-1605-2020; McElwain, Jennifer/B-1735-2009; Beerling, David/C-2840-2009</t>
  </si>
  <si>
    <t>McElwain, Jenny/0000-0002-1729-6755; McElwain, Jennifer/0000-0002-1729-6755; Beerling, David/0000-0003-1869-4314</t>
  </si>
  <si>
    <t>10.1002/jqs.664.abs</t>
  </si>
  <si>
    <t>519MQ</t>
  </si>
  <si>
    <t>WOS:000173730400003</t>
  </si>
  <si>
    <t>Austin, J</t>
  </si>
  <si>
    <t>A three-dimensional coupled chemistry-climate model simulation of past stratospheric trends</t>
  </si>
  <si>
    <t>INTERCOMPARISON PROJECT; OZONE DEPLETION; RATE-CONSTANT; WATER-VAPOR; TEMPERATURE; VARIABILITY; LOSSES; HOLE; AMIP</t>
  </si>
  <si>
    <t>A coupled chemistry-climate model is integrated for the period March 1979-January 2000 with sea surface temperatures and sea ice amounts specified from observations. Greenhouse gas concentrations and halogen loading are also taken from observations. The model contains a detailed stratospheric chemistry package that responds to and in turn influences the model temperature fields. The simulated temperature and ozone trends over the period 1980 to 2000 are broadly in agreement with observations. However, the Arctic ozone depletion is smaller than observed, and the impact of the Antarctic ozone hole lasts too long into summer. The coupling between the model ozone and temperature trends is demonstrated to occur in a similar way to that inferred from observations and could be important in generating the observed interannual temperature variability. It is concluded that further improvement in climate models is necessary before future trends in stratospheric ozone and temperature can be predicted with confidence.</t>
  </si>
  <si>
    <t>Met Off, Reading RG12 2SZ, Berks, England</t>
  </si>
  <si>
    <t>Met Office - UK</t>
  </si>
  <si>
    <t>Austin, J (corresponding author), Met Off, London Rd, Reading RG12 2SZ, Berks, England.</t>
  </si>
  <si>
    <t>10.1175/1520-0469(2002)059&lt;0218:ATDCCC&gt;2.0.CO;2</t>
  </si>
  <si>
    <t>504XW</t>
  </si>
  <si>
    <t>WOS:000172882300007</t>
  </si>
  <si>
    <t>Leat, PT; Riley, TR; Wareham, CD; Millar, IL; Kelley, SP; Storey, BC</t>
  </si>
  <si>
    <t>Tectonic setting of primitive magmas in volcanic arcs: an example from the Antarctic Peninsula</t>
  </si>
  <si>
    <t>Antarctica; magmas; volcanic arcs; tectonics</t>
  </si>
  <si>
    <t>HIGH-ALUMINA BASALTS; WESTERN PALMER-LAND; ISLAND-ARC; LESSER-ANTILLES; HIGH-MG; SILICIC VOLCANISM; ALEXANDER ISLAND; SOLOMON-ISLANDS; PHASE-RELATIONS; PACIFIC MARGIN</t>
  </si>
  <si>
    <t>Primitive magmas representing mantle partial melts minimally affected by fractionation and assimilation are rare in the magmatic arc environment. Most examples are either associated with high rates of arc-parallel extension, or occur along faults and dykes perpendicular to the trend of the arc and related to arc compression. In two cases, the Vanuatu and Solomon Islands arcs, such arc compression is being caused by collision of seamounts. In the Antarctic Peninsula. primitive mafic dykes were emplaced perpendicular to the continental arc. Ar-Ar and K-Ar data suggest intrusion of the dykes at c. 126-106 Ma, possibly during mid-Cretaceous regional compression of the arc. The dykes form two compositional groups, One group has low La-N/Yb-N ratios (0.31-0.49), lower Nb/Yb and higher Th/Nb than N-MORB, age-corrected epsilonNd values of +7.3 to +7.9, and are interpreted as melts of subduction modified sub-arc asthenosphere. The other has high La-N/Yb-N ratios (3.86 8.92), higher Nb/Yb and Th/Nb than N-MORB, age-corrected epsilonNd values of -2.8 to +3.4, and are interpreted as melts of sub-arc lithosphere. The absence of dykes compositionally between these groups suggests that the primitive magmas avoided storage and mixing in magma chambers.</t>
  </si>
  <si>
    <t>British Antarctic Survey, Cambridge CB3 0ET, England; British Antarctic Survey, NERC, Isotope Geosci Lab, Kingsley Dunham Ctr, Nottingham NG12 5GG, England; Open Univ, Dept Earth Sci, Milton Keynes MK7 6AA, Bucks, England</t>
  </si>
  <si>
    <t>UK Research &amp; Innovation (UKRI); Natural Environment Research Council (NERC); NERC British Antarctic Survey; UK Research &amp; Innovation (UKRI); Natural Environment Research Council (NERC); NERC British Antarctic Survey; NERC British Geological Survey; Open University - UK</t>
  </si>
  <si>
    <t>Leat, PT (corresponding author), British Antarctic Survey, Madingley Rd, Cambridge CB3 0ET, England.</t>
  </si>
  <si>
    <t>p.leat@bas.ac.uk</t>
  </si>
  <si>
    <t>Kelley, Simon/AAR-7075-2020; Millar, Ian L/F-1541-2010</t>
  </si>
  <si>
    <t>Kelley, Simon/0000-0002-1756-0480; Riley, Teal/0000-0002-3333-5021</t>
  </si>
  <si>
    <t>10.1144/0016-764900-132</t>
  </si>
  <si>
    <t>510BJ</t>
  </si>
  <si>
    <t>WOS:000173188600004</t>
  </si>
  <si>
    <t>Effects of protein hydrolysate of antarctic krill on the state of water and denaturation of fish myofibrils during dehydration</t>
  </si>
  <si>
    <t>JOURNAL OF THE JAPANESE SOCIETY FOR FOOD SCIENCE AND TECHNOLOGY-NIPPON SHOKUHIN KAGAKU KOGAKU KAISHI</t>
  </si>
  <si>
    <t>Japanese</t>
  </si>
  <si>
    <t>From the point of view of high utilization of antarctic krill, krill protein hydrolysates were prepared from antarctic krill meat and two species of shrimps by enzymic treatment using a protease. The hydrolysate prepared from each meat was added to lizard fish myofibrils in the concentration range of 2.5-12.5%, and the changes in the amount of unfrozen water in myofibrils associated with dehydration were analyzed by a differential scanning calorimetry, Ca2+ -ATPase activity of myofibrils was simultaneously measured and the results were compared with those for the hydrolysates of two species of shrimps. The amount of unfrozen water was increased by the addition of each hydrolysate. A decrease in ATPase activity during dehydration was relieved synchronously with the increase of unfrozen water, indicating a close correlation between ATPase activity and the amount of unfrozen water. Addition of 5.0-7.5% of the hydrolysates showed the notice effect. These results suggest that the denaturation of myofibrils can be suppressed by the addition of the hydrolysates, since the hydrolysates constructed water molecules resulting in an increase in the amount of unfrozen water.</t>
  </si>
  <si>
    <t>Nagasaki Univ, Grad Sch Marine Sci &amp; Engn, Bunkyo Ku, Nagasaki 8528521, Japan; Nagasaki Univ, Fac Fisheries, Bunkyo Ku, Nagasaki 8528521, Japan</t>
  </si>
  <si>
    <t>Zhang, N (corresponding author), Nagasaki Univ, Grad Sch Marine Sci &amp; Engn, Bunkyo Ku, Nagasaki 8528521, Japan.</t>
  </si>
  <si>
    <t>JAPAN SOC FOOD SCIENCE TECHNOLOGY</t>
  </si>
  <si>
    <t>IBARAKI-KEN</t>
  </si>
  <si>
    <t>2-1-12 KANNONDAI TSUKUBA-SHI, IBARAKI-KEN, 305-8642, JAPAN</t>
  </si>
  <si>
    <t>1341-027X</t>
  </si>
  <si>
    <t>J JPN SOC FOOD SCI</t>
  </si>
  <si>
    <t>J. Jpn. Soc. Food Sci. Technol.-Nippon Shokuhin Kagaku Kogaku Kaishi</t>
  </si>
  <si>
    <t>Food Science &amp; Technology</t>
  </si>
  <si>
    <t>540WT</t>
  </si>
  <si>
    <t>WOS:000174954400004</t>
  </si>
  <si>
    <t>Antonelli, ML; Calace, N; Fortini, C; Petronio, BM; Pietroletti, M; Pusceddu, P</t>
  </si>
  <si>
    <t>Calorimetric investigation of complex formation of some humic compounds</t>
  </si>
  <si>
    <t>JOURNAL OF THERMAL ANALYSIS AND CALORIMETRY</t>
  </si>
  <si>
    <t>5th Mediterranean Conference on Calorimetry and Thermal Analysis (MEDICTA 2001)</t>
  </si>
  <si>
    <t>SEP, 2001</t>
  </si>
  <si>
    <t>SANTIAGO DE COMPOSTELA, SPAIN</t>
  </si>
  <si>
    <t>calorimetry; complexing capacity; fulvic acid</t>
  </si>
  <si>
    <t>SUBSTANCES; MODEL</t>
  </si>
  <si>
    <t>In the present paper we studied the complexation capacity towards copper ion of fulvic acids extracted from Arno River and Lake Como sediments, as well as Antarctic Sea water at different pHs in order to evaluate the interaction of different complexing groups of fulvic acids with copper ions. The binding capacity studies were carried out by means of titration with a copper-selective electrode and calorimetric measurements. For the same purpose, the heat of reaction in the complexation of copper ions with small molecules containing functional groups similar to fulvic acid was also determined. Titration results indicated that the fraction of bound metal increases with increasing pH (from 5 to 7). This may be accounted for by the increase in the ionisation of the fulvic acid molecule. Results obtained from calorimetric measurements show that the quantity of total heat involved in the metal ion-fulvate interactions determines a decreasing exothermic response with increasing pH values.</t>
  </si>
  <si>
    <t>Univ Roma La Sapienza, Dept Chem, I-00185 Rome, Italy</t>
  </si>
  <si>
    <t>Antonelli, ML (corresponding author), Univ Roma La Sapienza, Dept Chem, Ple A Moro 5, I-00185 Rome, Italy.</t>
  </si>
  <si>
    <t>Calace, Nicoletta/0000-0003-1823-1168</t>
  </si>
  <si>
    <t>1418-2874</t>
  </si>
  <si>
    <t>J THERM ANAL CALORIM</t>
  </si>
  <si>
    <t>J. Therm. Anal.</t>
  </si>
  <si>
    <t>10.1023/A:1020694726010</t>
  </si>
  <si>
    <t>Thermodynamics; Chemistry, Analytical; Chemistry, Physical</t>
  </si>
  <si>
    <t>Thermodynamics; Chemistry</t>
  </si>
  <si>
    <t>604ZQ</t>
  </si>
  <si>
    <t>WOS:000178651300034</t>
  </si>
  <si>
    <t>Jones, HI; Gallagher, JM; Miller, GD</t>
  </si>
  <si>
    <t>Survey of South Polar skuas (Catharacta maccormicki) for blood parasites in the Vestfold Hills region of Antarctica</t>
  </si>
  <si>
    <t>JOURNAL OF WILDLIFE DISEASES</t>
  </si>
  <si>
    <t>Antarctic; Catharacta maccormicki; hematozoa; skuas; Stercorariidae</t>
  </si>
  <si>
    <t>PENGUIN</t>
  </si>
  <si>
    <t>Thin blood smears prepared from 125 South Polar skuas (Catharacta maccormicki) at breeding islands and Feeding sites in the Vestfold Hills region of Antarctica between December 1999 and January 2000 did not contain hematozoa. These findings confirm results of previous smaller studies, and provide baseline data for this species.</t>
  </si>
  <si>
    <t>Univ Western Australia, Dept Microbiol, Nedlands, WA 6009, Australia</t>
  </si>
  <si>
    <t>University of Western Australia</t>
  </si>
  <si>
    <t>Jones, HI (corresponding author), Univ Western Australia, Dept Microbiol, Nedlands, WA 6009, Australia.</t>
  </si>
  <si>
    <t>WILDLIFE DISEASE ASSN, INC</t>
  </si>
  <si>
    <t>810 EAST 10TH ST, LAWRENCE, KS 66044-8897 USA</t>
  </si>
  <si>
    <t>0090-3558</t>
  </si>
  <si>
    <t>J WILDLIFE DIS</t>
  </si>
  <si>
    <t>J. Wildl. Dis.</t>
  </si>
  <si>
    <t>10.7589/0090-3558-38.1.213</t>
  </si>
  <si>
    <t>518VT</t>
  </si>
  <si>
    <t>WOS:000173689100031</t>
  </si>
  <si>
    <t>Pastorino, G</t>
  </si>
  <si>
    <t>Two new trophoninae (Gastropoda: Muricidae) from Antarctic waters</t>
  </si>
  <si>
    <t>MALACOLOGIA</t>
  </si>
  <si>
    <t>Antarctica; Trophon amaudi n. sp.; Trophon emilyae n. sp.; Muricidae; Trophoninae; systematics; biogeography</t>
  </si>
  <si>
    <t>Two new species of Trophon from Antarctic waters are described. Trophon emilyae, n. sp., from the northwestern Amundsen Sea, is characterized by a small, slender, almost smooth shell and a thin profile. Axial sculpture consists of regular, thin varices, and four weak cords on the first whorls are the only spiral ornamentation. It is similar to T declinans Watson, 1882, but the radula and shell ornamentation are clearly different. Trophon arnaudi, n. sp., was collected off South Sandwich Island. It is a small species similar to T scolopaxWatson, 1882, from the Kerguelen Islands. The shell is chalky white, with 10-11 axial lamellae crossed by five spiral cords on the last whorl. Adult specimens of the new species are illustrated, described and compared with other living species of the same genus and of similar geographic distribution. Lectotypes of T. septus Watson, 1882, and T. declinans Watson, 1882, are here designated.</t>
  </si>
  <si>
    <t>Museo Agrentino Ciencias Nat, Buenos Aires, DF, Argentina</t>
  </si>
  <si>
    <t>Pastorino, G (corresponding author), Museo Agrentino Ciencias Nat, Av Angel Gallardo 470 3 Piso Lab 57,C1405DJR, Buenos Aires, DF, Argentina.</t>
  </si>
  <si>
    <t>INST MALACOL</t>
  </si>
  <si>
    <t>ANN ARBOR</t>
  </si>
  <si>
    <t>2415 SOUTH CIRCLE DR, ANN ARBOR, MI 48103 USA</t>
  </si>
  <si>
    <t>0076-2997</t>
  </si>
  <si>
    <t>Malacologia</t>
  </si>
  <si>
    <t>588WL</t>
  </si>
  <si>
    <t>WOS:000177725100011</t>
  </si>
  <si>
    <t>Finley, LA; Macmillan, DL</t>
  </si>
  <si>
    <t>An analysis of field potentials during different tailflip behaviours in crayfish</t>
  </si>
  <si>
    <t>MARINE AND FRESHWATER BEHAVIOUR AND PHYSIOLOGY</t>
  </si>
  <si>
    <t>crayfish; escape behaviour; tailflips; giant fibres; field potentials</t>
  </si>
  <si>
    <t>ESCAPE BEHAVIOR; GIANT</t>
  </si>
  <si>
    <t>Crayfish tailflips have been intensively studied to reveal the decision-making processes and neural organisation underlying a stereotyped escape behaviour. Three behaviours mediated by different neural pathways have been well described: medial giant, lateral giant and non-giant tailflips. It has proved difficult to distinguish between the three without invasive or restrictive experimental manipulation. We report unambiguous differences between the signals generated by the crayfish Cherax destructor during the three types of tailflip when recorded by bath electrodes placed in the holding aquarium. Using our ability to distinguish between the different behaviours in freely moving animals we examined the relationship between the type of tailflip evoked by stimulation to different parts of the body. The transition zone between medial and lateral giant tailflips is the thoracic-abdominal border but it is not absolute and some stimuli produce responses that cannot be unambiguously assigned to either behavioural category. We examined the latency between stimulation at different points down the length of the body and the appearance of the electrical signal accompanying escape for both medial and lateral tailflips. We used two methods to estimate the proportion of the latency accounted for by giant fibre conduction velocity. The results support current views of the differences between the activation sites of the two giant fibre systems and suggest why stimulation in the transition zone results in ambiguous outcomes.</t>
  </si>
  <si>
    <t>Univ Melbourne, Dept Zool, Parkville, Vic 3052, Australia; Australian Antarctic Div, Kingston, Tas 7050, Australia</t>
  </si>
  <si>
    <t>University of Melbourne; Australian Antarctic Division</t>
  </si>
  <si>
    <t>Macmillan, DL (corresponding author), Univ Melbourne, Dept Zool, Parkville, Vic 3052, Australia.</t>
  </si>
  <si>
    <t>4 PARK SQUARE, MILTON PARK, ABINGDON OX14 4RN, OXON, ENGLAND</t>
  </si>
  <si>
    <t>0091-181X</t>
  </si>
  <si>
    <t>MAR FRESHW BEHAV PHY</t>
  </si>
  <si>
    <t>Mar. Freshw. Behav. Physiol.</t>
  </si>
  <si>
    <t>10.1080/1023624021000019306</t>
  </si>
  <si>
    <t>622EL</t>
  </si>
  <si>
    <t>WOS:000179633500003</t>
  </si>
  <si>
    <t>Goldsworthy, SD; Lewis, M; Williams, R; He, X; Young, JW; van den Hoff, J</t>
  </si>
  <si>
    <t>Diet of Patagonian toothfish (Dissostichus eleginoides) around Macquarie Island, South Pacific Ocean</t>
  </si>
  <si>
    <t>MARINE AND FRESHWATER RESEARCH</t>
  </si>
  <si>
    <t>A total of 1423 stomach samples were taken from Patagonian toothfish, Dissostichus eleginoides, caught by bottom trawls at two fishing grounds near Macquarie I., over three fishing seasons. Fish were caught at depths ranging from 500 to 1290 m, and ranged in size from 310 to 1490 mm total length. The 462 stomach samples (32%) that contained prey items indicated that toothfish preyed on a broad range of species including fish, cephalopods and crustaceans (58%, 32% and 10% biomass, respectively), suggesting that they are opportunistic predators. The bathypelagic fish Bathylagus sp. was the most important fish prey (14% dietary biomass); however, nototheniid, macrourid, morid and myctophid fish were also taken. The squid Gonatus antarcticus was also an important prey species (16% biomass), and many other cephalopod species were taken in low frequency. Prawnlike crustaceans (Nematocarcinidae, Mysididae, Sergestidae and Euphausiidae) were the most important crustaceans taken (9% of prey biomass). Significant inter-seasonal and inter-fishing-ground differences in diet were found, but dietary composition was not related to fishing depth, fish size (with the exception of one fishing ground in one season) or the time of day of capture. Comparison with other studies reveals biogeographical differences in the diet of toothfish.</t>
  </si>
  <si>
    <t>CSIRO Marien Res, Hobart, Tas 7001, Australia; Australian Antarctic Div, Kingston, Tas 7050, Australia</t>
  </si>
  <si>
    <t>Commonwealth Scientific &amp; Industrial Research Organisation (CSIRO); Australian Antarctic Division</t>
  </si>
  <si>
    <t>Goldsworthy, SD (corresponding author), La Trobe Univ, Dept Zool, Sea Mammal Ecol Grp, Bundoora, Vic 3086, Australia.</t>
  </si>
  <si>
    <t>Young, jock/A-1682-2012</t>
  </si>
  <si>
    <t>Goldsworthy, Simon/0000-0003-4988-9085</t>
  </si>
  <si>
    <t>1323-1650</t>
  </si>
  <si>
    <t>MAR FRESHWATER RES</t>
  </si>
  <si>
    <t>Mar. Freshw. Res.</t>
  </si>
  <si>
    <t>10.1071/MF00075</t>
  </si>
  <si>
    <t>Fisheries; Limnology; Marine &amp; Freshwater Biology; Oceanography</t>
  </si>
  <si>
    <t>516TA</t>
  </si>
  <si>
    <t>WOS:000173571800006</t>
  </si>
  <si>
    <t>Wilson, SG; Pauly, T; Meekan, MG</t>
  </si>
  <si>
    <t>Distribution of zooplankton inferred from hydroacoustic backscatter data in coastal waters off Ningaloo Reef, Western Australia</t>
  </si>
  <si>
    <t>SHARKS RHINCODON-TYPUS; WHALE SHARKS; SCATTERING LAYERS; TURBULENT ENVIRONMENTS; DISTRIBUTION PATTERNS; POPULATION-DYNAMICS; EUPHAUSIA-SUPERBA; CONTINENTAL-SHELF; BAJA-CALIFORNIA; AGGREGATION</t>
  </si>
  <si>
    <t>Hydroacoustic surveys were used to examine zooplankton distributions in coastal waters off Ningaloo Reef, Western Australia. Surveys were timed to coincide with the seasonal aggregation of whale sharks, Rhincodon typus, and other large zooplanktivores in these waters. The surveys examined scattering features of lagoon/shelf fronts, a series of cross-shelf transects and waters surrounding whale sharks swimming at the surface. These suggested that lagoon waters flow intrusively into shelf waters at reef passages in a layered exchange. Cross-shelf transects identified three vertical scattering layers: a surface bubble layer; a near-surface minimum layer; and a bottom maximum layer. Regions of intense mixing of lagoon and shelf waters were detected seaward and to the north of reef passages. Integrated acoustic mean volume backscatter of the bottom maximum layer increased with depth and distance offshore. Large subsurface aggregations of unidentified fauna were detected beneath whale sharks in the same area that manta rays and surface schools of euphausiids were also observed.</t>
  </si>
  <si>
    <t>Univ Western Australia, Dept Zool, Crawley, WA 6009, Australia; Australian Inst Marine Sci, Townsville, Qld 4810, Australia; Australian Antarctic Div, Kingston, Tas 7050, Australia</t>
  </si>
  <si>
    <t>University of Western Australia; Australian Institute of Marine Science; Australian Antarctic Division</t>
  </si>
  <si>
    <t>Wilson, SG (corresponding author), New England Aquarium, Edgerton Res Lab, Cent Wharf, Boston, MA 02110 USA.</t>
  </si>
  <si>
    <t>Meekan, Mark/0000-0002-3067-9427</t>
  </si>
  <si>
    <t>10.1071/MF01229</t>
  </si>
  <si>
    <t>622CY</t>
  </si>
  <si>
    <t>WOS:000179630000007</t>
  </si>
  <si>
    <t>Robinson, SA; Goldsworthy, SG; van den Hoff, J; Hindell, MA</t>
  </si>
  <si>
    <t>The foraging ecology of two sympatric fur seal species, Arctocephalus gazella and Arctocephalus tropicalis, at Macquarie Island during the austral summer</t>
  </si>
  <si>
    <t>Antarctic fur seal; diving behaviour; Myctophidae; satellite tracking; subantarctic fur seal</t>
  </si>
  <si>
    <t>DIVING BEHAVIOR; FISH PREY; ATTENDANCE BEHAVIOR; BREEDING-SEASON; DIET; OTOLITHS; TRACKING; VARIABILITY; TELEMETRY; PETERS</t>
  </si>
  <si>
    <t>Antarctic Arctocephalus gazella and subantarctic Arctocephalus tropicalis fur seals breed sympatrically at Macquarie Island. The two species have different lactation strategies, the former rearing its pup in 4 months and the latter taking 10 months. The diet and at-sea foraging behaviour of these sympatric species was compared during the austral summer period when their pup rearing period overlapped. The prey of the two fur seal species was very similar, with fish dominating the diet. The myctophid, Electrona subaspera, was the main prey item (93.9%) in all months of the study. There were no major differences in the diving behaviour between species. Both species foraged north of the island parallel to the Macquarie Ridge. Foraging activity was concentrated at two sites: (i) within 30 km north of the island; and (ii) at 60 km north. Most locations for overnight foraging trips were within 10 km of the colonies. The different lactation strategies of A. gazella and A. tropicalis allowed for flexibility in foraging behaviour. At Macquarie Island, the local marine environmental conditions have resulted in similar foraging behaviour for both species.</t>
  </si>
  <si>
    <t>Univ Tasmania, Sch Zool, Antarctic Wildlife Res Unit, Hobart, Tas 7001, Australia; La Trobe Univ, Sea Mammal Ecol Grp, Bundoora, Vic 3086, Australia; Australian Antarctic Div, Kingston, Tas 7050, Australia</t>
  </si>
  <si>
    <t>University of Tasmania; La Trobe University; Australian Antarctic Division</t>
  </si>
  <si>
    <t>Univ Tasmania, Sch Zool, Antarctic Wildlife Res Unit, POB 252-05, Hobart, Tas 7001, Australia.</t>
  </si>
  <si>
    <t>susan_ar@postoffice.utas.edu.au</t>
  </si>
  <si>
    <t>Hindell, Mark/0000-0002-7823-7185; Goldsworthy, Simon/0000-0003-4988-9085</t>
  </si>
  <si>
    <t>CSIRO PUBLISHING</t>
  </si>
  <si>
    <t>CLAYTON</t>
  </si>
  <si>
    <t>UNIPARK, BLDG 1, LEVEL 1, 195 WELLINGTON RD, LOCKED BAG 10, CLAYTON, VIC 3168, AUSTRALIA</t>
  </si>
  <si>
    <t>1448-6059</t>
  </si>
  <si>
    <t>10.1071/MF01218</t>
  </si>
  <si>
    <t>641ME</t>
  </si>
  <si>
    <t>WOS:000180747900003</t>
  </si>
  <si>
    <t>Pattiaratchi, CB; Harris, PT</t>
  </si>
  <si>
    <t>Hydrodynamic and sand-transport controls on en echelon sandbank formation:: an example from Moreton Bay, eastern Australia</t>
  </si>
  <si>
    <t>aggregate mining; dredging; harmonic analysis; sandbank evolution; tidal currents</t>
  </si>
  <si>
    <t>SIZE DISTRIBUTIONS; RIDGE FIELD; INNER SHELF; DYNAMICS; BANKS; EVOLUTION; CURRENTS</t>
  </si>
  <si>
    <t>Current meter observations from a field of en echelon sandbanks in Moreton Bay, Australia, provide insights into sandbank hydrodynamics and development. Re-circulation of sand is occurring around straight-crested, near-shore banks, but not around offshore, 'S'-shaped banks. Rather, net transport over this latter area is unidirectional (flood dominated). This is explained in the context of the evolution of the banks, in which the mature, near-shore banks have grown vertically upwards to the sea surface and thus contribute to the local generation of higher tidal harmonics and a residual current circulation pattern, whereas the crestlines of younger, 'S'-shaped banks are still mostly &gt;5 m below the surface and do not affect the flow field significantly. For the mature, inshore banks, reversal of net sand-transport vectors over a distance of less than 1 km (from one side of an interbank channel to the other) is related to the amplification and phase modulation of the M 4 tidal constituent. These observations are of relevance to dredging operations since, in order to minimize the impact on the sand-transport system, removal of sand should be from the end of the transport path. Transport paths, in turn, are identified based on directions of net sand-transport and grain size data. Observations from Moreton Bay and other locations around the world suggest that it is possible to dredge offshore sandbanks without affecting beach erosion, provided that there are no direct linkages between the offshore sandbank system and coastal deposits.</t>
  </si>
  <si>
    <t>Antarctic CRC, Geosci Australia, Hobart, Tas 7001, Australia; Univ Western Australia, Dept Environm Engn, Ctr Water Res, Nedlands, WA 6009, Australia</t>
  </si>
  <si>
    <t>Geoscience Australia; University of Western Australia</t>
  </si>
  <si>
    <t>Antarctic CRC, Geosci Australia, GPO Box 252-80, Hobart, Tas 7001, Australia.</t>
  </si>
  <si>
    <t>p.harris@utas.edu.au</t>
  </si>
  <si>
    <t>Harris, Peter/AAI-7100-2020; Pattiaratchi, Charitha/E-6916-2011</t>
  </si>
  <si>
    <t>Pattiaratchi, Charitha/0000-0003-2229-6183</t>
  </si>
  <si>
    <t>10.1071/MF01288</t>
  </si>
  <si>
    <t>WOS:000180747900006</t>
  </si>
  <si>
    <t>Allcock, AL; Piertney, SB</t>
  </si>
  <si>
    <t>Evolutionary relationships of southern ocean Octopodidae (Cephalopoda: Octopoda) and a new diagnosis of Pareledone</t>
  </si>
  <si>
    <t>CLASSIFICATION; MORPHOLOGY</t>
  </si>
  <si>
    <t>The phylogenetic relationships of eight species of incirrate octopodid from western Antarctica were investigated using molecular sequence data from the mitochondrial 16s ribosomal RNA gene. The genus Pareledone, which is endemic to the Antarctic, was found to be polyphyletic. On the basis of this and previous morphological studies, it is suggested that species that are morphologically similar to Pareledone polymorpha should be removed from the genus. This simplifies the diagnosis of Pareledone: a new diagnosis is given. The subfamilies Eledoninae and Graneledoninae were also found to be polyphyletic. The applicability of using the presence of an ink sac as a taxonomic character to define the subfamilies is discussed. Loss of an ink sac is almost certainly an adaptation to depth and use of this character has produced an artificial classification with no evolutionary significance. As the other two subfamilies, Octopodinae and Bathypolypodinae, are also separated by this character, it is probable that all the subfamilies of the Octopodidae are polyphyletic. The use of subfamilies should therefore be discontinued until our understanding of the evolution of the family Octopodidae increases.</t>
  </si>
  <si>
    <t>Natl Museums Scotland, Dept Geol &amp; Zool, Edinburgh EH1 1JF, Midlothian, Scotland; Univ Aberdeen, Dept Zool, NERC, Mol Genet Ecol Initiat, Aberdeen AB24 2TZ, Scotland</t>
  </si>
  <si>
    <t>University of Aberdeen; UK Research &amp; Innovation (UKRI); Natural Environment Research Council (NERC)</t>
  </si>
  <si>
    <t>Allcock, AL (corresponding author), Natl Museums Scotland, Dept Geol &amp; Zool, Chambers St, Edinburgh EH1 1JF, Midlothian, Scotland.</t>
  </si>
  <si>
    <t>Piertney, Stuart B/I-3144-2012; Allcock, Louise/A-7359-2012</t>
  </si>
  <si>
    <t>Allcock, Louise/0000-0002-4806-0040; Piertney, Stuart/0000-0001-6654-0569</t>
  </si>
  <si>
    <t>10.1007/s002270100687</t>
  </si>
  <si>
    <t>528FV</t>
  </si>
  <si>
    <t>WOS:000174234500012</t>
  </si>
  <si>
    <t>González-Solís, J; Croxall, JP; Briggs, DR</t>
  </si>
  <si>
    <t>Activity patterns of giant petrels, Macronectes spp., using different foraging strategies</t>
  </si>
  <si>
    <t>SOUTH-GEORGIA; WANDERING ALBATROSS; ENERGETICS; FLIGHT; ISLAND; HALLI; OCEAN</t>
  </si>
  <si>
    <t>We studied foraging activity of giant petrels during the incubation period, by simultaneously deploying activity recorders and satellite transmitters on northern (Macronectes halli) and southern giant petrels (Macronectes giganteus) at Bird Island (South Georgia, Antarctica) between 29 October and 26 December 1998, Satellite tracking showed two types of trips: (1) coastal trips, all undertaken by male northern giant petrels, to the nearby South Georgia mainland, presumably foraging on seal and penguin carcasses on beaches, and (2) pelagic trips, foraging at sea for marine prey or potentially scavenging on distant archipelagos (e.g. South Sandwich, Falkland or South Orkney Islands). Activity recorder data were consistent with the types of trip defined by the satellite tracking data, with median wet activity (time spent at the sea surface) during pelagic trips being 41%, but only 14% on coastal trips. On pelagic trips, there was a significant negative correlation between the duration of wet periods and the speed of travel between satellite uplinks. Mean travelling speed between uplinks was greater during day than night for both types of trips, suggesting that giant petrels prefer to travel during daylight and are less active at night. The scarcity of wet periods during the night in giant petrels foraging to the South Georgia coast (median = 3%, range = 1-9 %) indicates that such birds spent almost all night on land. Likewise, the scarcity of wet periods at night for three birds foraging 700-1,000km south of Bird Island, where there is no land but abundant icebergs, suggests these birds were resting on the icebergs at night. In addition to the adaptations to scavenging on carrion, pelagic trips by giant petrels contain elements similar to those of albatrosses, indicating a complexity to giant petrel lifestyle hitherto unrecognised.</t>
  </si>
  <si>
    <t>Univ Barcelona, Dept Biol Anim Vertebrats, E-08028 Barcelona, Spain; British Antarctic Survey, NERC, Cambridge CB3 0ET, England</t>
  </si>
  <si>
    <t>University of Barcelona; UK Research &amp; Innovation (UKRI); Natural Environment Research Council (NERC); NERC British Antarctic Survey</t>
  </si>
  <si>
    <t>González-Solís, J (corresponding author), Univ Barcelona, Dept Biol Anim Vertebrats, Av Diagonal 645, E-08028 Barcelona, Spain.</t>
  </si>
  <si>
    <t>González-Solís, Jacob/AAB-1161-2019; Gonzalez-Solis, Jacob/C-3942-2008</t>
  </si>
  <si>
    <t>Gonzalez-Solis, Jacob/0000-0002-8691-9397</t>
  </si>
  <si>
    <t>10.1007/s002270100684</t>
  </si>
  <si>
    <t>WOS:000174234500019</t>
  </si>
  <si>
    <t>Gatti, S; Brey, T; Müller, WEG; Heilmayer, O; Holst, G</t>
  </si>
  <si>
    <t>Oxygen microoptodes:: a new tool for oxygen measurements in aquatic animal ecology</t>
  </si>
  <si>
    <t>WALDECKIA-OBESA CHEVREUX; LATERNULA ELLIPTICA KING; DISSOLVED-OXYGEN; METABOLIC-RATE; WATER; SPONGE; GROWTH; TEMPERATURE; ENERGETICS; ELECTRODE</t>
  </si>
  <si>
    <t>We describe two applications of a recently introduced system for very precise, continuous measurement of water oxygen saturation. Oxygen microoptodes (based on the dynamic fluorescence quenching principle) with a tip diameter of similar to50 mum, an eight-channel optode array, an intermittent flow system, and online data registration were used to perform two types of experiments. The metabolic activity of Antarctic invertebrates (sponges and scallops) was estimated in respiration experiments, and, secondly, oxygen saturation inside living sponge tissue was determined in different flow regimes. Even in long-term experiments (several days) no drift was detectable in between calibrations. Data obtained were in excellent correspondence with control measurements performed with a modified Winkler method. Antarctic invertebrates in our study showed low oxygen consumption rates, ranging from 0.03-0.19 cm(3) O-2 h(-1) ind.(-1). Oxygen saturation inside living sponge specimens was affected by flow regime and culturing conditions of sponges. Our results suggest that oxygen optodes are a reliable tool for oxygen measurements beyond the methodological limits of traditional methods.</t>
  </si>
  <si>
    <t>Alfred Wegener Inst Polar &amp; Marine Res, D-27515 Bremerhaven, Germany; Johannes Gutenberg Univ Mainz, Inst Physiol Chem, Dept Appl Mol Biol, D-55099 Mainz, Germany; Max Planck Inst Marine Microbiol, D-28359 Bremen, Germany</t>
  </si>
  <si>
    <t>Helmholtz Association; Alfred Wegener Institute, Helmholtz Centre for Polar &amp; Marine Research; Johannes Gutenberg University of Mainz; Max Planck Society</t>
  </si>
  <si>
    <t>sgatti@awi-bremerhaven.de</t>
  </si>
  <si>
    <t>Müller, W. E. G./AAR-8651-2020</t>
  </si>
  <si>
    <t>Müller, W. E. G./0000-0002-8223-3689; Brey, Thomas/0000-0002-6345-2851; Heilmayer, Olaf/0000-0003-1849-1381</t>
  </si>
  <si>
    <t>10.1007/s00227-002-0786-9</t>
  </si>
  <si>
    <t>572TH</t>
  </si>
  <si>
    <t>WOS:000176790700001</t>
  </si>
  <si>
    <t>Bischof, K; Hanelt, D; Aguilera, J; Karsten, U; Vögele, B; Sawall, T; Wiencke, C</t>
  </si>
  <si>
    <t>Seasonal variation in ecophysiological patterns in macroalgae from an Arctic fjord.: I.: Sensitivity of photosynthesis to ultraviolet radiation</t>
  </si>
  <si>
    <t>UV-B RADIATION; LIFE-HISTORY STAGES; INDUCED DNA-DAMAGE; LAMINARIA-SOLIDUNGULA; MARINE MACROALGAE; AMINO-ACIDS; CHLOROPHYLL FLUORESCENCE; DESMARESTIA-MENZIESII; SACCHARINA PHAEOPHYTA; ANTARCTIC MACROALGAE</t>
  </si>
  <si>
    <t>Marine macroalgae inhabiting Arctic coastal ecosystems are exposed to pronounced seasonal variations in the radiation regime, including harmful UVB radiation. This study presents the first data on the seasonal changes in the sensitivity of macroalgal photosynthesis towards UV exposure by comparing under-ice, clear-water and turbid-water conditions characteristic for late winter, spring and summer. Various brown (Laminaria saccharina, L. digitata, L. solidungula, Saccorhiza dermatodea, Desmarestia aculeata), red (Palmaria palmata, Devaleraea ramentacea) and one green macroalgal species (Monostroma aff. arcticum) were collected at the same water depth throughout the seasons in the Kongsfjord (Spitsbergen, Svalbard, Norway). Maximum quantum yield (F-v/F-m) and maximum photosynthetic electron transport rates (ETRmax) were determined immediately after collection, after 2 h exposure to artificial UV radiation and after 18 h recovery in dim white light. Photosynthesis of the studied species showed different responses depending on their morpho-functional and physiological characteristics, their life strategies, phenology and depth distribution. Within the genus Laminaria, maximum quantum yield of adult specimens of the deep-water species L. solidungula was most strongly UV sensitive. Adult L. saccharina exhibited a lower UV sensitivity than a 6-month-old specimen. Inhibition of photosynthesis after UV exposure remained at the same level throughout the study period, both in adult L. saccharina and S. dermatodea. However, adult specimens of L. saccharina collected in May showed partial recovery only, whereas photosynthesis of specimens from both species collected later recovered fully. D. aculeata exhibited a remarkable decrease of UV sensitivity during the study period. Photosynthesis of specimens collected under the ice was strongly inhibited by UV, but the degree of inhibition decreased during spring and summer. Concomitantly ETRmax values were low after UV exposure in specimens collected in June, but increased later in the season. P. palmata exhibited a relatively flexible response. Photosynthesis in specimens collected under the ice in June or in turbid water in July/August was relatively strongly inhibited; specimens collected during sunny periods and in clear water in spring showed a much lower degree of photoinhibition after UV exposure. The seasonal pattern of low/high ETRmax values in spring/summer is probably a characteristic of the life strategy of this species. The UV sensitivity of D. ramentacea exhibited a similar seasonal pattern. In M. aff. arcticum, UV sensitivity increased and ETRmax values decreased during the study period, reflecting the life strategy of this annual late winter/spring species. The physiological basis for the seasonal changes in UV sensitivity of photosynthesis is presented in a companion paper (this issue).</t>
  </si>
  <si>
    <t>Alfred Wegener Inst Polar &amp; Marine Res, D-27570 Bremerhaven, Germany; Biol Anstalt Helgoland, Fdn Alfred Wegener Inst, D-27483 Helgoland, Germany; Univ Malaga, Fac Ciencias, Dept Ecol, E-29071 Malaga, Spain; Univ Rostock, Inst Aquat Ecol, D-18051 Rostock, Germany; Akvaplan Niva AS, Polar Environm Ctr, N-9296 Tromso, Norway</t>
  </si>
  <si>
    <t>Helmholtz Association; Alfred Wegener Institute, Helmholtz Centre for Polar &amp; Marine Research; Helmholtz Association; Alfred Wegener Institute, Helmholtz Centre for Polar &amp; Marine Research; Universidad de Malaga; University of Rostock; Akvaplan-niva</t>
  </si>
  <si>
    <t>Wiencke, C (corresponding author), Alfred Wegener Inst Polar &amp; Marine Res, Handelshafen 12, D-27570 Bremerhaven, Germany.</t>
  </si>
  <si>
    <t>Hanelt, Dieter/E-6659-2017; Aguilera, Jose/AGT-5247-2022</t>
  </si>
  <si>
    <t>Aguilera, Jose/0000-0002-1911-111X; Bischof, Kai/0000-0002-4497-1920</t>
  </si>
  <si>
    <t>10.1007/s00227-002-0795-8</t>
  </si>
  <si>
    <t>WOS:000176790700003</t>
  </si>
  <si>
    <t>Michler, T; Aguilera, J; Hanelt, D; Bischof, K; Wiencke, C</t>
  </si>
  <si>
    <t>Long-term effects of ultraviolet radiation on growth and photosynthetic performance of polar and cold-temperate macroalgae</t>
  </si>
  <si>
    <t>INDUCED DNA-DAMAGE; UV-ABSORBING COMPOUNDS; B RADIATION; CHLOROPHYLL FLUORESCENCE; MARINE MACROALGAE; SOLAR-RADIATION; AMINO-ACIDS; DASYCLADUS-VERMICULARIS; DEPTH DISTRIBUTION; ARCTIC MACROALGAE</t>
  </si>
  <si>
    <t>Long-term effects of artificial ultraviolet radiation (UV) and natural solar radiation on growth and photosynthetic activity, as measured by chlorophyll fluorescence, were investigated in 13 different polar and cold-temperate macroalgal species. Isolates of five different species from the Arctic and Antarctic were exposed to different light treatments of photosynthetically active radiation (PAR), PAR + UVA and PAR + UVA + UVB. Eight different species collected on the island of Helgoland, North Sea, Germany, were studied in the laboratory and under natural solar radiation conditions. Increase in fresh weight and changes in photosynthetic performance were monitored over a period of 3-4 weeks. The sublittoral polar species, particularly the Antarctic red algal species Gymnogongrus antarcticus and G. turquetii, the Arctic cold-temperate brown alga Alaria esculenta and, very drastically, the Arctic-endemic Laminaria solidungula, exhibited strong inhibiting effects of artificial UVB radiation on growth. In the cold-temperate sublittoral growth of the red algae Phycodrys rubens and, to a lesser extend, Membranoptera alata was substantially inhibited by UV radiation. In contrast, eulittoral species, e.g. Fucus serralus, did not show any differences in growth with respect to artificial irradiation conditions, with or without UV radiation. In the laboratory, some individuals of the green alga Codium fragile exhibited strong morphological changes of the whole thallus, particularly under UVB exposure. In the experimental outdoor set up, growth of most of the algal species was already inhibited by the full solar UV waveband, but, apart from Polyides rotundus, no additional UVB effect could be detected. Changes of in vivo fluorescence were not always consistent with the measurable changes in growth rate, indicating that physiological processes leading to an inhibition of growth may act independently of changes in photosynthetic activity. For the polar species, a general correlation between the natural vertical distribution in the field and the individual sensitivity towards UV radiation was indicated, while for eulittoral species from Helgoland no clear relationship was found. The obtained results show that measuring growth is a good ecological parameter to monitor long-term effects of UV radiation on single macroalgal species and the possible resulting changes of whole algal communities in coastal ecosystems.</t>
  </si>
  <si>
    <t>Michler, T (corresponding author), Alfred Wegener Inst Polar &amp; Marine Res, Handelshafen 12, D-27570 Bremerhaven, Germany.</t>
  </si>
  <si>
    <t>Aguilera, Jose/AGT-5247-2022; Hanelt, Dieter/E-6659-2017</t>
  </si>
  <si>
    <t>10.1007/s00227-002-0791-z</t>
  </si>
  <si>
    <t>WOS:000176790700005</t>
  </si>
  <si>
    <t>Beaumont, KL; Nash, GV; Davidson, AT</t>
  </si>
  <si>
    <t>Ultrastructure, morphology and flux of microzooplankton faecal pellets in an east Antarctic fjord</t>
  </si>
  <si>
    <t>MARINE ECOLOGY PROGRESS SERIES</t>
  </si>
  <si>
    <t>faecal pellets; flux; copepods; protozoa</t>
  </si>
  <si>
    <t>BIOGENIC CARBON; PERMANENT STATION; VERTICAL FLUX; WEDDELL SEA; ZOOPLANKTON; COPEPOD; SEDIMENTATION; OCEAN; PHYTOPLANKTON; ABUNDANCE</t>
  </si>
  <si>
    <t>Small copepods and protozoa are major contributors to heterotrophic biomass in Antarctic waters. They produce small (&lt; 300 mum) faecal pellets, the fates of which are largely unknown. We examined the distribution and abundance of microzooplankton and small faecal pellets in Ellis Fjord, east Antarctica. We determined statistical relationships between the abundance of microzooplankton and pellets, and examined pellet morphology and ultrastructure using light and scanning electron microscopy. Our results indicate species-specific differences in the morphology and fate of pellets produced by small copepods: Oithona similis and harpacticoid pellets were retained in upper waters, while Oncaea curvata and Paralabidocera antarctica pellets sank to depth. Protozoan pellets did not sink to depth irrespective of their source or morphology and despite the fact they can be larger than those produced by small copepods. The majority of microzooplankton pellets, composed of phytoplankton that otherwise may have directly sedimented to depth, was retained in near surface waters and probably recycled and remineralised. Despite producing faecal aggregates, heterotrophic activity of most microzooplankton do not contribute to vertical flux but instead support respiration of matter in upper waters. This may reduce the vertical flux of particulate matter to depth, thereby reducing the capacity of Antarctic waters to act as a carbon sink, with implications for global climate.</t>
  </si>
  <si>
    <t>Univ Tasmania, Sch Zool, Hobart, Tas, Australia; Asutralian Antarctic Div, Kingston, Tas, Australia</t>
  </si>
  <si>
    <t>Univ Tasmania, Sch Zool, Hobart, Tas, Australia.</t>
  </si>
  <si>
    <t>karin.beaumont@aad.gov.au</t>
  </si>
  <si>
    <t>0171-8630</t>
  </si>
  <si>
    <t>1616-1599</t>
  </si>
  <si>
    <t>MAR ECOL PROG SER</t>
  </si>
  <si>
    <t>Mar. Ecol.-Prog. Ser.</t>
  </si>
  <si>
    <t>10.3354/meps245133</t>
  </si>
  <si>
    <t>Ecology; Marine &amp; Freshwater Biology; Oceanography</t>
  </si>
  <si>
    <t>Environmental Sciences &amp; Ecology; Marine &amp; Freshwater Biology; Oceanography</t>
  </si>
  <si>
    <t>637UC</t>
  </si>
  <si>
    <t>WOS:000180531300013</t>
  </si>
  <si>
    <t>Lea, MA; Cherel, Y; Guinet, C; Nichols, PD</t>
  </si>
  <si>
    <t>Antarctic fur seals foraging in the Polar Frontal Zone: inter-annual shifts in diet as shown from fecal and fatty acid analyses</t>
  </si>
  <si>
    <t>myctophid; fatty acid; Kerguelen; lipids; fish; squid; Arctocephalus gazella</t>
  </si>
  <si>
    <t>SQUID MOROTEUTHIS-INGENS; ARCTOCEPHALUS-GAZELLA; SOUTH GEORGIA; KING PENGUINS; APTENODYTES PATAGONICUS; KERGUELEN WATERS; MESOPELAGIC FISH; SCAT ANALYSIS; INDIAN-OCEAN; FOOD-WEB</t>
  </si>
  <si>
    <t>We studied the dietary preferences of Antarctic fur seals Arctocephalus gazella from Cap Noir, Iles Kerguelen, foraging in the Antarctic Polar Frontal Zone (PFZ) in February of 1998, 1999 and 2000. Scats were collected and analyzed for remaining prey hard parts in each of the 3 years, and in 1999 and 2000, the fatty acid (FA) composition of fur seal milk samples was also examined for longer-term dietary preferences. Scat analyses revealed that seals foraged primarily on fish and some squid in all 3 years with 25 species of fish being taken during the study. Myctophid fish accounted for an average of 94% by number of all fish consumed with 3 species, Gymnoscopelus nicholsi, G. piabilis and Electrona subaspera, forming the core diet. Inter-annual differences in dietary species composition were apparent, however, with the presence of the mackerel icefish Champsocephalus gunnari in 1998 and the myctophid Protomyctophum tenisoni in 1999 accounting primarily for the differences observed between years. While reconstituted prey biomass per scat was similar between years, scats from 1998 represented less energy per gram than those from 1999 and 2000. This study highlights the usefulness of using FA signature analysis to confirm longer-term shifts in dietary intake of fur seals using milk samples. Polyunsaturated fatty acids (PUFAs) were significantly more prevalent in the 1999 milk samples, which were also lower in overall lipid content (43% vs 53%). G. nicholsi, a particularly oily fish, occurred in higher proportions in the diet in 2000, perhaps explaining the higher incidence of monounsaturated fatty acids (MUFAs) in this year and the generally higher lipid levels present in milk samples. The inter-annual variation in the diet of Antarctic fur seals confirmed by these 2 techniques lends support to the hypothesis that previously identified variations in oceanographic conditions surrounding lies Kerguelen in 1998, 1999 and 2000 affect the availability of fur seal prey resources.</t>
  </si>
  <si>
    <t>Univ Tasmania, Sch Zool, Antarctic Wildlife Res Unit, Hobart, Tas 7001, Australia; CNRS, Ctr Etud Biol Chize, F-79360 Beauvoir Sur Niort, France; CSIRO, Hobart, Tas 7001, Australia; Univ Tasmania, Antartic Commonweatlh Res Ctr, Hobart, Tas 7001, Australia</t>
  </si>
  <si>
    <t>University of Tasmania; Centre National de la Recherche Scientifique (CNRS); Commonwealth Scientific &amp; Industrial Research Organisation (CSIRO); University of Tasmania</t>
  </si>
  <si>
    <t>Guinet, Christophe/AAR-8457-2020; Nichols, Peter D/C-5128-2011; Lea, Mary-Anne/E-9054-2013</t>
  </si>
  <si>
    <t>Lea, Mary-Anne/0000-0001-8318-9299</t>
  </si>
  <si>
    <t>10.3354/meps245281</t>
  </si>
  <si>
    <t>Bronze, Green Accepted, Green Submitted</t>
  </si>
  <si>
    <t>WOS:000180531300026</t>
  </si>
  <si>
    <t>Skerratt, JH; Bowman, JP; Hallegraeff, G; James, S; Nichols, PD</t>
  </si>
  <si>
    <t>Algicidal bacteria associated with blooms of a toxic dinoflagellate in a temperate Australian estuary</t>
  </si>
  <si>
    <t>algicidal; Gymnodinium; Pseudoalteromonas; Cellulophaga; flavobacteria; harmful algal blooms</t>
  </si>
  <si>
    <t>HETEROSIGMA-AKASHIWO RAPHIDOPHYCEAE; IN-SITU HYBRIDIZATION; RED TIDE; MARINE BACTERIOPLANKTON; SALMONELLA-TYPHIMURIUM; COMMUNITY COMPOSITION; PHYLOGENETIC ANALYSIS; GLIDING BACTERIUM; HIROSHIMA BAY; CYTOPHAGA SP</t>
  </si>
  <si>
    <t>Gymnodinium catenatum is an introduced toxic dinoflagellate that blooms intermittently and causes shellfish farm closure in the Huon Estuary, Tasmania, Australia. Seventy-five bacteria isolated from the estuary were tested for algicidal activity against this and other toxic and nontoxic algal species. Five isolates produced algicidal extracellular exudates. These algicidal species were a Pseudoalteromonas sp. (ACEM 4), a novel Zobellia sp. (ACEM 20), a strain of Cellulophaga lytica (ACEM 21) and 2 Firmicutes: a novel Planomicrobium sp. (ACEM 22) and a strain of Bacillus cereus (ACEM 32). This study is the first time Gram-positive bacteria have been associated with algicidal activities. Further data are presented on an algicidal Pseudoalteromonas species previously isolated from the Huon Estuary (Strain y). Supernatant produced by all 5 strains caused cell lysis and death in G. catenatum vegetative cells. No change or reversible ecdysis was noted for 2 other endemic dinoflagellate species. Algicidal or inhibitory activity was not activated via homoserine lactones, but bacterial quorum sensing for the isolates was shown by means of the AI-2 mechanism. Algicidal activity from field isolates was also influenced by strain or environmental variation. Bacteria were capable of losing or switching off their algicidal ability indicating that the presence of an algicidal species in the environment may not necessarily signify that they are currently algicidal. Concentrations of algicidal compounds required for algal lysis in laboratory experiments indicate that the 5 bacterial species can be effective against G. catenatum vegetative cells if they dominate the bacterial population in the estuary, particularly when attached to particles.</t>
  </si>
  <si>
    <t>Univ Tasmania, Antarctic Cooperat Res Ctr, Hobart, Tas 7005, Australia; Univ Tasmania, Inst Antarctic &amp; So Ocean Studies, Hobart, Tas 7005, Australia; Univ Tasmania, Sch Agr Sci, Hobart, Tas 7005, Australia; Univ Tasmania, Sch Plant Sci, Hobart, Tas 7005, Australia; Univ New S Wales, Sch Microbiol &amp; Immunol, Sydney, NSW 2052, Australia; CSIRO, Div Marine Res, Hobart, Tas 7001, Australia</t>
  </si>
  <si>
    <t>University of Tasmania; University of Tasmania; University of Tasmania; University of Tasmania; University of New South Wales Sydney; Commonwealth Scientific &amp; Industrial Research Organisation (CSIRO)</t>
  </si>
  <si>
    <t>Skerratt, JH (corresponding author), Univ Tasmania, Antarctic Cooperat Res Ctr, Hobart, Tas 7005, Australia.</t>
  </si>
  <si>
    <t>jenny.skerratt@utas.edu.au</t>
  </si>
  <si>
    <t>skerratt, jennifer/N-4313-2019; Nichols, Peter D/C-5128-2011; Skerratt, Jennifer/F-2010-2015; Bowman, John P./ABF-5108-2020; Bowman, John P/C-2414-2014; Hallegraeff, Gustaaf/C-8351-2013</t>
  </si>
  <si>
    <t>skerratt, jennifer/0000-0001-9023-4692; Skerratt, Jennifer/0000-0001-9023-4692; Bowman, John P./0000-0002-4528-9333; Bowman, John P/0000-0002-4528-9333; Hallegraeff, Gustaaf/0000-0001-8464-7343</t>
  </si>
  <si>
    <t>10.3354/meps244001</t>
  </si>
  <si>
    <t>635AH</t>
  </si>
  <si>
    <t>WOS:000180374300001</t>
  </si>
  <si>
    <t>Bowen, WD; Tully, D; Boness, DJ; Bulheier, BM; Marshall, GJ</t>
  </si>
  <si>
    <t>Prey-dependent foraging tactics and prey profitability in a marine mammal</t>
  </si>
  <si>
    <t>foraging; tactics; prey profitability; pinniped; arbour seal</t>
  </si>
  <si>
    <t>ANTARCTIC FUR SEALS; MALE HARBOR SEALS; DIVING BEHAVIOR; SIZE SELECTION; PHOCA-VITULINA; SABLE ISLAND; DIET; CRITTERCAM; PREDATION; ECOLOGY</t>
  </si>
  <si>
    <t>Predators face decisions about which prey to include in their diet in order to maximize fitness. The foraging tactics used to capture prey and the resulting profitability of prey influence these decisions. We present the first evidence of prey-dependent foraging tactics and prey profitability in a free-ranging pinniped. We studied 39 adult male harbour seals Phoca vitulina at Sable Island, Nova Scotia using an animal-borne video system. Each male wore the camera system for 3 d during which 10 min video samples were recorded every 45 min from 06:00 h, resulting in approximately 3 h of videotape per male and a total of 1094 capture attempts of identified prey. Males foraged mainly on sand lance Ammodytes dubius and flounders (Pleuronectids), but salmonid and gadoid fishes were occasionally pursued. Foraging tactics differed among and within prey types based on differences in prey behaviour. Sand lance was both a cryptic prey, when in the bottom substrate, and a conspicuous schooling prey. Seal swimming speed, handling time and capture success differed between cryptic and conspicuous sand lance. The highest capture success and handling time was recorded for flounders. Estimated profitability, i.e. net energy intake per unit time, also differed with prey type and prey size. Our results suggest that diet selection may have important implications on the foraging energetics of pinnipeds.</t>
  </si>
  <si>
    <t>Fisheries &amp; Oceans Canada, Bedford Inst Oceanog, Marine Fis Div, Dartmouth, NS B2Y 4A2, Canada; Dalhousie Univ, Dept Biol, Halifax, NS B3H 4J1, Canada; Smithsonian Inst, Natl Zool Pk, Dept Zool Res, Washington, DC 20008 USA; Natl Geog Televis, Washington, DC 20036 USA</t>
  </si>
  <si>
    <t>Bedford Institute of Oceanography; Fisheries &amp; Oceans Canada; Dalhousie University; Smithsonian Institution; Smithsonian National Zoological Park &amp; Conservation Biology Institute; National Geographic Society</t>
  </si>
  <si>
    <t>Fisheries &amp; Oceans Canada, Bedford Inst Oceanog, Marine Fis Div, POB 1006, Dartmouth, NS B2Y 4A2, Canada.</t>
  </si>
  <si>
    <t>bowend@mar.dfo-mpo.gc.ca</t>
  </si>
  <si>
    <t>Bowen, William D/D-2758-2012; Bowen, William/AAE-7204-2022</t>
  </si>
  <si>
    <t>Bowen, William/0000-0001-8334-5677</t>
  </si>
  <si>
    <t>10.3354/meps244235</t>
  </si>
  <si>
    <t>WOS:000180374300021</t>
  </si>
  <si>
    <t>González-Solís, J; Sanpera, C; Ruiz, X</t>
  </si>
  <si>
    <t>Metals and selenium as bioindicators of geographic and trophic segregation in giant petrels Macronectes spp.</t>
  </si>
  <si>
    <t>environmental contaminants; chemicals; sexual dimorphism; marine pollution; cadmium; lead mercury</t>
  </si>
  <si>
    <t>SOUTH-GEORGIA; MARINE-ENVIRONMENT; WANDERING ALBATROSSES; SATELLITE TRACKING; LARUS-ARGENTATUS; ATLANTIC-OCEAN; MERCURY LEVELS; HEAVY-METALS; BIRD-ISLAND; SEABIRDS</t>
  </si>
  <si>
    <t>We analysed concentrations of cadmium, lead, mercury and selenium in blood from males and females of the 2 sibling species of giant petrels, the northern Macronectes halli and the southern M. giganteus, breeding sympatrically at Bird Island (South Georgia, Antarctica). Blood samples were collected in 1998 during the incubation period, from 5 November to 10 December. Between species, cadmium and lead concentrations were significantly higher for northern than for southern giant petrels, which probably resulted from northern giant petrels wintering in more polluted areas (mainly on the Patagonian Shelf and Falkland Islands) compared to southern giant petrels (wintering mainly around South Georgia and the South Sandwich Islands). Between sexes, cadmium concentrations were significantly higher for females than for males in both species, corresponding to the more pelagic habits of females compared to the more scavenging habits of males. Lead and cadmium concentrations in circulating blood decreased significantly over the incubation period, suggesting that when breeding at Bird Island, exposure to the source of pollution had ended, and these metals had been cleared from the blood and excreted, or rapidly transferred to other tissues. Association of lead and cadmium with a common source of pollution was further corroborated by a significant positive correlation between the levels of the 2 elements found. Mercury levels were similar between the species, but showed an opposite trend between sexes, with males showing higher levels than females in northern giant petrels, and the opposite was true in southern giant petrels, with no changes throughout incubation. Selenium levels were similar between sexes, but significantly greater for northern than for southern giant petrels. Moreover, there was a significant increase in the selenium levels over the incubation period in northern giant petrels. Age of adult birds did not affect metal concentrations, Coefficients of variation of metal levels were consistently lower for northern than for southern giant petrels, particularly for mercury, suggesting that the former species is more dietary specialised than the latter. Contaminant analyses, when combined with accurate information on seabird movements, obtained through geolocation or satellite tracking, help us to understand geographic variation of pollution in the marine environment.</t>
  </si>
  <si>
    <t>jacob@bio.ub.es</t>
  </si>
  <si>
    <t>Gonzalez-Solis, Jacob/C-3942-2008; González-Solís, Jacob/AAB-1161-2019; Sanpera, Carolina/B-5461-2013</t>
  </si>
  <si>
    <t>Gonzalez-Solis, Jacob/0000-0002-8691-9397; Sanpera, Carolina/0000-0002-5198-6514</t>
  </si>
  <si>
    <t>10.3354/meps244257</t>
  </si>
  <si>
    <t>Bronze, Green Accepted, Green Published</t>
  </si>
  <si>
    <t>WOS:000180374300023</t>
  </si>
  <si>
    <t>Gray, JS</t>
  </si>
  <si>
    <t>Species richness of marine soft sediments</t>
  </si>
  <si>
    <t>diversity; deep sea; coasts; patterns; scales</t>
  </si>
  <si>
    <t>DEEP-SEA; LATITUDINAL GRADIENTS; BENTHIC DIVERSITY; SPATIAL PATTERNS; BIODIVERSITY; COMMUNITIES; MACROBENTHOS; MACROFAUNA; HYPOTHESIS; CRITIQUE</t>
  </si>
  <si>
    <t>Marine soft sediments comprise one of the largest and oldest habitats in the world, yet remarkably little is known about patterns of species richness. Here I present a short review of patterns of species richness and possible factors that influence such patterns. Species richness in general is remarkably high in both shallow coastal areas and the deep sea. However, there are clear differences-the deep-sea has higher number of species for a given number of individuals than the coast. This can be explained by the larger amounts of primary production that reach coastal compared with deep-sea sediments, leading to higher numbers of individuals per unit area. Species density (the number of species per unit area) is also higher in the deep-sea than in coastal areas, but it is not obvious why this is so. Most studies of the broad patterns of species richness have used samples taken at small scales only. The problem with such analyses is that unless a large number of samples are taken, the true underlying pattern (or lack of it) may be wrongly interpreted. Recent studies have analysed species richness at larger scales. In general there seems to be a cline of increasing species richness from the Arctic to the tropics, but this is not the case in the southern hemisphere, where Antarctic species richness is high. However, it is not known whether high species richness in the Antarctic occurs at all spatial scales. To what extent these patterns are determined by evolutionary factors remains to be determined by the application of molecular methods. The available evidence suggests that environmental factors such as productivity, temperature, and sediment grain-size diversity play dominant roles in determining patterns of regional-scale species richness and patterns in species turnover, and it is probably the regional scale that primarily determines local species richness.</t>
  </si>
  <si>
    <t>Univ Oslo, Dept Biol, N-0316 Oslo, Norway</t>
  </si>
  <si>
    <t>University of Oslo</t>
  </si>
  <si>
    <t>Univ Oslo, Dept Biol, POB 1064,Blindern, N-0316 Oslo, Norway.</t>
  </si>
  <si>
    <t>j.s.gray@bio.uio.no</t>
  </si>
  <si>
    <t>10.3354/meps244285</t>
  </si>
  <si>
    <t>WOS:000180374300025</t>
  </si>
  <si>
    <t>Becker, PH; González-Solís, J; Behrends, B; Croxall, J</t>
  </si>
  <si>
    <t>Feather mercury levels in seabirds at South Georgia:: influence of trophic position, sex and age</t>
  </si>
  <si>
    <t>interspecific variability; intraspecific variability; trophic position; krill diet; foraging; temporal trend; total mercury; body feathers</t>
  </si>
  <si>
    <t>HEAVY-METAL CONCENTRATIONS; GULLS LARUS-ARGENTATUS; GIANT PETRELS; ARCTOCEPHALUS-GAZELLA; MACRONECTES-HALLI; DOSE-RESPONSE; MOLT STRATEGY; BIRD ISLAND; URIA-AALGE; NORTH</t>
  </si>
  <si>
    <t>We studied the mercury contamination of 13 species of seabirds breeding on Bird Island, South Georgia, in 1998. Total mercury concentrations in body feather samples of birds caught at their breeding colonies were determined. Among the species, grey-headed albatross (8933 ng g(-1)) and southern giant petrel (7774 ng g(-1)) showed the highest, and gentoo penguin (948 ng g(-1)) the lowest body feather mercury concentrations. Mercury levels were negatively correlated with the proportion of crustaceans (mainly krill) in the species' diets, suggesting that the trophic level is the most important factor in explaining the variation of mercury concentrations in Antarctic seabirds. In 4 species studied for age effects among adult birds (grey-headed and black-browed albatross, northern and southern giant petrel), no age-dependent variation in mercury levels was found. Sex differences were also assessed: female gentoo penguins had lower mercury levels than males, which may be related to the elimination of part of the mercury body burden by females into eggs. In contrast, northern giant petrel males had lower levels than females, which may be related to a higher consumption by males of carrion from Antarctic fur seals. In grey-headed albatrosses, mercury levels were 113 % higher than in 1989, when this species was investigated at the same site, indicating a possible increase in mercury pollution of the Southern Ocean during the last decade.</t>
  </si>
  <si>
    <t>Inst Vogelforsch Vogelwarte Helgoland, D-26386 Wilhelmshaven, Germany; Univ Barcelona, Dept Biol Anim Vertebrats, D-08028 Barcelona, Spain; British Antarctic Survey, Nat Environm Res Council, Cambridge CB3 0ET, England</t>
  </si>
  <si>
    <t>Inst Vogelforsch Vogelwarte Helgoland, Vogelwarte 21, D-26386 Wilhelmshaven, Germany.</t>
  </si>
  <si>
    <t>peter.becker@ifv.terramare.de</t>
  </si>
  <si>
    <t>Gonzalez-Solis, Jacob/C-3942-2008; González-Solís, Jacob/AAB-1161-2019; Bond, Alexander L/A-3786-2010</t>
  </si>
  <si>
    <t>Gonzalez-Solis, Jacob/0000-0002-8691-9397;</t>
  </si>
  <si>
    <t>10.3354/meps243261</t>
  </si>
  <si>
    <t>623DZ</t>
  </si>
  <si>
    <t>WOS:000179689200022</t>
  </si>
  <si>
    <t>Teixidó, N; Garrabou, J; Arntz, WE</t>
  </si>
  <si>
    <t>Spatial pattern quantification of Antarctic benthic communities using landscape indices</t>
  </si>
  <si>
    <t>Antarctic; benthic communities; landscape indices; multivariate ordination; underwater photographs; GIS</t>
  </si>
  <si>
    <t>SOUTHEASTERN WEDDELL SEA; EPIBENTHIC COMMUNITIES; PHYTOPLANKTON BIOMASS; PARTICULATE MATTER; SIGNY ISLAND; ECOLOGY; SPONGES; SUMMER; SCALE; SHELF</t>
  </si>
  <si>
    <t>Antarctic benthos exhibits highly complex communities showing a wide array of spatial patterns at several scales which are poorly quantified. In this study, we introduce the use of methods borrowed from landscape ecology to study quantitatively spatial patterns in the Antarctic megaepibenthic communities. This discipline focuses on the notion that communities can be observed as a patch mosaic at any scale. From this perspective we investigated spatial patterns in an Antartcic benthic assemblage across different stations based on landscape indices, and we chose the optimal subset for describing Antarctic benthic patterns. For this purpose, 42 photographs (1 m(2) each) corresponding to 6 stations from the Weddell Sea shelf were investigated. Canonical variate analysis (CVA) showed the arrangement of photographic records along a patch size and diversity gradient on the first axis and a heterogeneity pattern gradient (cover area, interspersion and juxtaposition, landscape shape indices) on the second axis. Based on a forward stepwise selection, mean patch size (MPS), patch size coefficient of deviation (PSCV), patch richness (PR), interspersion and juxtaposition index (IJI), mean shape index (MSI), Shannon's evenness (SHEI), and periarea index (PERIAREA) were chosen as the adequate subset of indices to describe the Antarctic benthos. Principal Component Analysis (PCA) was used to identify relationships among them. The resulting 3 factors were interpreted as (1) a heterogeneity pattern (related to patch size, form, diversity, and interspersion indices), (2) an equitability pattern (represented by the evenness index), and (3) a perimeter-area pattern (characterised by the periarea index). Analysis of variance (ANOVA) was carried out to detect differences among the stations based on the subset of indices. Overall, the results showed large differences in patch characteristics (mean and its coefficient of variation, and shape indices), diversity, and interspersion. The successful description of Antarctic benthic communities through landscape pattern indices provides a useful tool for the characterisation and comparison of spatial patterns in these diverse marine benthic habitats, which gives insights in their organisation.</t>
  </si>
  <si>
    <t>Alfred Wegener Inst Polar &amp; Marine Res, D-27568 Bremerhaven, Germany; Ctr Oceanol Marseille, Marine Endoume Stn, F-13007 Marseille, France</t>
  </si>
  <si>
    <t>Teixidó, N (corresponding author), Alfred Wegener Inst Polar &amp; Marine Res, Columbusstr, D-27568 Bremerhaven, Germany.</t>
  </si>
  <si>
    <t>nteixido@awi-bremerhaven.de</t>
  </si>
  <si>
    <t>Teixido, Nuria/0000-0001-9286-2852</t>
  </si>
  <si>
    <t>10.3354/meps242001</t>
  </si>
  <si>
    <t>619EZ</t>
  </si>
  <si>
    <t>WOS:000179463800001</t>
  </si>
  <si>
    <t>Gilpin, LC; Priddle, J; Whitehouse, MJ; Savidge, G; Atkinson, A</t>
  </si>
  <si>
    <t>Primary production and carbon uptake dynamics in the vicinity of South Georgia-balancing carbon fixation and removal</t>
  </si>
  <si>
    <t>primary production; South Georgia; Southern Ocean; photoinhibition; nutrients; carbon flux</t>
  </si>
  <si>
    <t>KRILL-COPEPOD INTERACTIONS; EUPHAUSIA-SUPERBA; PHYTOPLANKTON BIOMASS; ANTARCTIC KRILL; WEDDELL-SEA; SCOTIA SEA; MESOZOOPLANKTON COMMUNITY; NITROGEN ASSIMILATION; BIOOPTICAL PROPERTIES; MARINE-PHYTOPLANKTON</t>
  </si>
  <si>
    <t>Primary production was measured at a series of stations in austral summer 1996 in the vicinity of South Georgia. Five stations were occupied along a 700 km transect southeastwards towards the western tip of South Georgia. Three stations were located north of the Antarctic Polar Front (PF) with mean primary production of 0.41 g C m(-2) d(-1) compared to 0.54 g C m(-2) d(-1) for the stations south of the front. Three stations were in the shelf break and off-shelf region to the east of South Georgia where the lowest rates of primary production were recorded (mean 0.34 g C m(-2) d(-1)). At a further 4 stations northwest of the island, primary production was significantly greater: 0.8 to 2.5 g C m(-2) d(-1) (mean 1.5 g C m(-2) d(-1)). Photoinhibition was a marked feature of the production profiles, resulting in the underestimation of column production by 4 to 16%. An assessment is made of the primary production required to maintain a representative assemblage of metazooplankton around South Georgia composed of 30 g fresh mass (FM) m(-2) krill and 20 g FM m(-2) copepods. The total C requirement of both groups at maximum growth rate is estimated as 0.93 g C m(-2) d(-1), with 0.54 g C m(-2) d(-1) required to maintain basal metabolism (i.e. for zero growth). Local primary production rates are well in excess of the C demands for basal metabolism by the metazooplankton, and likewise the highest regional values exceed those for maximum metazooplankton growth. It is also estimated that the krill biomass required to sustain higher predators during their breeding season could be supported by local production at plausible maximum krill growth rate. In particular, high primary production found in this study to the northwest of South Georgia appears to be adequate to sustain maximum growth rate by krill when their biomass is 30 g FM m(-2), when krill production will exceed predator removal. It is already well known that advection from,higher latitudes is important in supplying energy to the South Georgia system. This study adds to the evidence that locally enhanced primary production is also important in supporting the local food web.</t>
  </si>
  <si>
    <t>Napier Univ, Sch Life Sci, Edinburgh EH10 5DT, Midlothian, Scotland; NERC, British Antarctic Survey, Cambridge CB3 0ET, England; Queens Univ Belfast, Marine Lab, Portaferry, Down, North Ireland</t>
  </si>
  <si>
    <t>Edinburgh Napier University; UK Research &amp; Innovation (UKRI); Natural Environment Research Council (NERC); NERC British Antarctic Survey; Queens University Belfast</t>
  </si>
  <si>
    <t>Gilpin, LC (corresponding author), Napier Univ, Sch Life Sci, 10 Colinton Rd, Edinburgh EH10 5DT, Midlothian, Scotland.</t>
  </si>
  <si>
    <t>l.gilpin@napier.ac.uk</t>
  </si>
  <si>
    <t>Whitehouse, Martin J/E-1425-2013; Atkinson, Angus/HOH-3417-2023</t>
  </si>
  <si>
    <t>10.3354/meps242051</t>
  </si>
  <si>
    <t>Green Published, Bronze, Green Accepted</t>
  </si>
  <si>
    <t>WOS:000179463800005</t>
  </si>
  <si>
    <t>Fraser, KPP; Clarke, A; Peck, LS</t>
  </si>
  <si>
    <t>Feast and famine in Antarctica:: seasonal physiology in the limpet Nacella concinna</t>
  </si>
  <si>
    <t>limpet; O : N ratio; nitrogen excretion; oxygen consumption; seasonal metabolism</t>
  </si>
  <si>
    <t>SOUTH-ORKNEY ISLANDS; LATERNULA-ELLIPTICA; NITROGEN-EXCRETION; AMMONIA EXCRETION; STREBEL 1908; SIGNY ISLAND; SEAWATER; REPRODUCTION; METABOLISM; GROWTH</t>
  </si>
  <si>
    <t>The few studies of Antarctic marine invertebrates that have previously examined seasonal changes in physiology have concentrated on species that cease feeding for extended periods in the austral winter. In contrast, the limpet Nacella concinna (Strebel, 1908) feeds throughout the year. To compare the differing physiological responses demonstrated by a continually feeding species and species that cease feeding during winter we measured seasonal changes in N. concinna faecal egestion, oxygen consumption, O:N ratios, ammonia, urea and primary amine excretion at 4 points in the year. Tissue ash-free dry mass decreased by 47% and faecal egestion 10-fold from summer to winter. Metabolic rates decreased significantly in winter (December, 0.61 +/- 0.04 mumol O-2 h(-1); October, 0.38 +/- 0.04 mumol O-2 h(-1)), but to a much lesser degree than other Antarctic marine invertebrates. Ammonia and urea excretion rates showed significant seasonal variations, while no clear pattern was evident in primary amine excretion. Ammonia excretion decreased during late summer and early winter before increasing in spring (minimum, February, 66.23 +/- 5.72 nmol h(-1); maximum, December, 170.83 +/- 9.50 nmol h(-1)). Urea excretion was low in summer (December, 9.88 +/- 1.60 nmol h(-1)) and maximal (July, 26.70 +/- 4.05 nmol h(-1)) in winter. Urea and primary amine excretion combined accounted for between 10 and 38% of total nitrogen excretion. O:N ratios ranged between 7 and 20 and demonstrated that although protein was the dominant respiratory substrate throughout the year, in late summer and early winter lipids and carbohydrates were also utilised for metabolism. N. concinna has a low degree of metabolic seasonality due to the maintenance of high winter metabolic rates. Although feeding during winter provides some energy, it is insufficient to offset the substantial utilisation of tissue energy stores to balance the metabolic budget.</t>
  </si>
  <si>
    <t>Fraser, KPP (corresponding author), British Antarctic Survey, NERC, Div Biol Sci, High Cross,Madingley Rd, Cambridge CB3 0ET, England.</t>
  </si>
  <si>
    <t>kppf@pcmail.nerc-bas.ac.uk</t>
  </si>
  <si>
    <t>Fraser, Keiron/0000-0001-5491-8376</t>
  </si>
  <si>
    <t>10.3354/meps242169</t>
  </si>
  <si>
    <t>WOS:000179463800015</t>
  </si>
  <si>
    <t>Hindell, MA; Harcourt, R; Waas, JR; Thompson, D</t>
  </si>
  <si>
    <t>Fine-scale three-dimensional spatial use by diving, lactating female Weddell seals Leptonychotes weddellii</t>
  </si>
  <si>
    <t>three-dimensional tracking; acoustic tracking; habitat use; intra-specific competition; Weddell seals</t>
  </si>
  <si>
    <t>SOUTHERN ELEPHANT SEALS; UNDER-ICE MOVEMENTS; FORAGING ECOLOGY; PHOCA-VITULINA; BEHAVIOR; DIET; PATTERNS; TRACKING; EASTERN; FOOD</t>
  </si>
  <si>
    <t>Despite the importance of fine-scale spatial use in understanding an animal's foraging, ecology, these data cannot readily be collected for free-ranging marine mammals. We used an acoustic positioning system to quantify, for the first time, the fine-scale 3-dimensional (3D) spatial use of free-ranging Weddell seals swimming under ice. Unlike many other phocid species, lactating Weddell seals spent up to 25% of their time diving. Given the limited foraging range imposed on the seals by the fast ice upon which they breed, this could lead to prey depletion and even inter-specific competition. The seals focused their underwater activity on a relatively small region associated with a steep bottom contour, using the entire water column, with very little time spent at the bottom. This behaviour is consistent with feeding on bentho-pelagic prey such as Pleurogramma antarcticum. The 3D profile of individual dives consisted of the seals making simple, directed dives which gradually converged with the ocean floor. There was some variation from this pattern, usually associated with increased searching time. Such focused foraging activity may result in local prey depletion and intra-specific competition.</t>
  </si>
  <si>
    <t>Univ Tasmania, Antarctic Wildlife Res Unit, Sch Zool, Hobart, Tas 7001, Australia; Macquarie Univ, Grad Sch Environm, Marine Mammal Res Grp, Sydney, NSW 2109, Australia; Univ Waikato, Dept Sci Biol, Hamilton, New Zealand; Univ St Andrews, Gatty Marine Lab, Sea Mammal Res Unit, St Andrews KY16 8LB, Fife, Scotland</t>
  </si>
  <si>
    <t>University of Tasmania; Macquarie University; University of Waikato; University of St Andrews</t>
  </si>
  <si>
    <t>Univ Tasmania, Antarctic Wildlife Res Unit, Sch Zool, POB 252-05, Hobart, Tas 7001, Australia.</t>
  </si>
  <si>
    <t>mark.hindell@utas.edu.au</t>
  </si>
  <si>
    <t>Hindell, Mark A/K-1131-2013; Hindell, Mark A/C-8368-2013</t>
  </si>
  <si>
    <t>Harcourt, Robert/0000-0003-4666-2934; Hindell, Mark/0000-0002-7823-7185</t>
  </si>
  <si>
    <t>10.3354/meps242275</t>
  </si>
  <si>
    <t>WOS:000179463800024</t>
  </si>
  <si>
    <t>Boyd, IL; Staniland, IJ; Martin, AR</t>
  </si>
  <si>
    <t>Distribution of foraging by female Antarctic fur seals</t>
  </si>
  <si>
    <t>Southern Ocean; krill; dispersion; behavior; critical habitat ice edge; Patagonian Shelf; South Georgia; predator-prey interactions; Arctocephalus gazella</t>
  </si>
  <si>
    <t>TROPHIC-LEVEL PREDATORS; SOUTH-GEORGIA; ARCTOCEPHALUS-GAZELLA; MARINE ECOSYSTEM; INTERANNUAL VARIABILITY; ELEPHANT SEALS; TIME; MOVEMENTS; SEABIRDS; BEHAVIOR</t>
  </si>
  <si>
    <t>The study examined the distribution of critical habitat for foraging by female Antarctic fur seals breeding at the island of South Georgia. Bathymetric features of the continental shelf around the island of South Georgia were an important indicator for the localisation of foraging. This pattern was consistent among years of different prey availability. Lactating females were constrained to forage mainly within 100 km of the location at which the offspring was being raised. When this constraint was removed at the end of lactation, females foraged to much greater ranges and dispersed to specific regions of the continental shelf east of Patagonia (&gt;1000 km) and to the northern edge of the Antarctic pack ice (500 km). The empirical distribution of foraging during the breeding season was used to develop a function that described the foraging distribution for the whole breeding population of females. The result was consistent with past observations from ship-based surveys and it allowed estimation of the spatial impact of breeding female fur seals on krill at South Georgia. This suggested that, in extreme cases and assuming that krill influx is limited, female fur seals could eat most of the krill present in some regions where they forage intensively. However, mean consumption was about one-tenth of the mean density of krill.</t>
  </si>
  <si>
    <t>Univ St Andrews, Gatty Marine Lab, Sea Mammal Res Unit, St Andrews KY16 8LB, Fife, Scotland; British Antarctic Survey, NERC, Cambridge CB3 0ET, England</t>
  </si>
  <si>
    <t>Boyd, IL (corresponding author), Univ St Andrews, Gatty Marine Lab, Sea Mammal Res Unit, St Andrews KY16 8LB, Fife, Scotland.</t>
  </si>
  <si>
    <t>ilb@st-andrews.ac.uk</t>
  </si>
  <si>
    <t>Staniland, Iain/I-4725-2012</t>
  </si>
  <si>
    <t>Staniland, Iain/0000-0003-2736-9134</t>
  </si>
  <si>
    <t>10.3354/meps242285</t>
  </si>
  <si>
    <t>WOS:000179463800025</t>
  </si>
  <si>
    <t>Haberman, KL; Ross, RM; Quetin, LB; Vernet, M; Nevitt, GA; Kozlowski, W</t>
  </si>
  <si>
    <t>Grazing by Antarctic krill Euphausia superba on Phaeocystis antarctica:: an immunochemical approach</t>
  </si>
  <si>
    <t>Antarctic krill; diet; Euphausia superba; grazing; immunoassay; Phaeocystis antarctica; phytoplankton</t>
  </si>
  <si>
    <t>SOUTH GEORGIA; PHYTOPLANKTON; PREDATION; ANCHOVY; IDENTIFICATION; CYANOBACTERIA; IMMUNOASSAY; ELISA; PREY; DANA</t>
  </si>
  <si>
    <t>An enzyme-linked immunosorbent assay (ELISA) for Phaeocystis antarctica was developed and used to determine the extent of grazing by Euphausia superba on this prymnesiophyte. First, a specific antiserum to P. antarctica was produced and tested on phytoplankton cells and extracts. Then, the antiserum was tested on extracts of stomachs from krill fed diets of either Thalassiosira antarctica or P. antarctica, and also on mixtures of these extracts. The antiserum response was a logarithmic function of the percentage of the extract mixture that came from P. antarctica-fed krill. In the field, the antiserum was tested on krill collected during December 1996 to February 1997 in the Palmer Long-Term Ecological Research study region west of the Antarctic Peninsula. The antiserum. response suggested that krill ingested P. antarctica at 20% of the stations tested, most of them in nearshore areas. Krill grazed P. antarctica only at stations where concentrations of the marker pigment for P. antarctica, 19'-hexanoyloxyfucoxanthin, were above 0.150 mug l(-1). At these stations, the percentage of P. antarctica in the krill stomach extracts was positively correlated with chlorophyll a concentrations, but negatively correlated with the proportion of P. antarctica within the phytoplankton community. Overall, P. antarctica appeared to comprise a relatively small proportion of the phytoplankton utilized by krill, both spatially and temporally.</t>
  </si>
  <si>
    <t>Western Oregon Univ, Dept Biol, Monmouth, OR 97361 USA; Univ Calif Santa Barbara, Inst Marine Sci, Santa Barbara, CA 93106 USA; Univ Calif San Diego, Scripps Inst Oceanog, La Jolla, CA 92093 USA; Univ Calif Davis, Dept Neurobiol Physiol &amp; Behav, Davis, CA 95616 USA</t>
  </si>
  <si>
    <t>Western Oregon University; University of California System; University of California Santa Barbara; University of California System; University of California San Diego; Scripps Institution of Oceanography; University of California System; University of California Davis</t>
  </si>
  <si>
    <t>Haberman, KL (corresponding author), Western Oregon Univ, Dept Biol, Monmouth, OR 97361 USA.</t>
  </si>
  <si>
    <t>habermk@wou.edu</t>
  </si>
  <si>
    <t>Kozlowski, Wendy Anne/0000-0001-6539-3798</t>
  </si>
  <si>
    <t>10.3354/meps241139</t>
  </si>
  <si>
    <t>613RU</t>
  </si>
  <si>
    <t>WOS:000179145900012</t>
  </si>
  <si>
    <t>Conde, D; Aubriot, L; Bonilla, S; Sommaruga, R</t>
  </si>
  <si>
    <t>Marine intrusions in a coastal lagoon enhance the negative effect of solar UV radiation on phytoplankton photosynthetic rates</t>
  </si>
  <si>
    <t>UV-A; UV-B; CDOM; microalgae sensitivity; primary production; hydrological regime; ENSO</t>
  </si>
  <si>
    <t>SOUTHEASTERN SOUTH-AMERICA; FRESH-WATER PHYTOPLANKTON; ULTRAVIOLET-B RADIATION; ANTARCTIC OZONE HOLE; DOC MEASUREMENTS; PENETRATION; LAKES; DIATOM; SENSITIVITY; INHIBITION</t>
  </si>
  <si>
    <t>Between March 1997 and May 1999, we studied the effect of solar UV-B (290 to 320 nm) and UV-A (320 to 400 nm) radiation on phytoplankton photosynthetic rates in a shallow coastal lagoon with periodic exchange with the Atlantic Ocean. In particular, we assessed whether the exchange with the ocean affected the severity of photosynthetic inhibition. During events of marine intrusion, the UV attenuation coefficient (K-d) in the brackish zone decreased up to 70% of the values observed under the influence of the freshwater discharge. The highest inhibition of the PAR-saturated photosynthetic rates by UV radiation (up to 55%) was observed in summer at the brackish zone in association with marine intrusion events. In the freshwater zone, the highest inhibition was up to 3-fold lower than in the brackish area due to higher K-d values in the UV range. On average for the entire system, near-surface primary production was reduced by ca. 25%, and the contribution by UV-A and UV-B was close to 2:1. Our results provide a baseline for future comparisons at a latitude where predicted trends in reduction of stratospheric ozone are significant. However, hydrological changes affecting river discharge and communication frequency with the ocean appear to be more important for the UV underwater climate and primary production than the expected increase in incident UV-B fluxes.</t>
  </si>
  <si>
    <t>Univ Innsbruck, Inst Zool &amp; Limnol, A-6020 Innsbruck, Austria; Univ Uruguay, UDELAR, Fac Sci, Limnol Sect, Montevideo 11400, Uruguay</t>
  </si>
  <si>
    <t>University of Innsbruck; Universidad de la Republica, Uruguay</t>
  </si>
  <si>
    <t>Sommaruga, R (corresponding author), Univ Innsbruck, Inst Zool &amp; Limnol, Technikerstr 25, A-6020 Innsbruck, Austria.</t>
  </si>
  <si>
    <t>ruben.sommaruga@uibk.ac.at</t>
  </si>
  <si>
    <t>Sommaruga, Ruben/0000-0002-1055-2461; Sommaruga, Ruben/0000-0002-1055-2461; Bonilla, Sylvia/0000-0002-1772-9899; conde, daniel/0000-0002-4088-0589</t>
  </si>
  <si>
    <t>10.3354/meps240057</t>
  </si>
  <si>
    <t>601QF</t>
  </si>
  <si>
    <t>WOS:000178457600007</t>
  </si>
  <si>
    <t>Tarling, GA; Jarvis, T; Emsley, SM; Matthews, JBL</t>
  </si>
  <si>
    <t>Midnight sinking behaviour in Calanus finmarchicus:: a response to satiation or krill predation?</t>
  </si>
  <si>
    <t>zooplankton; copepod; euphausiid; vertical migration; clyde sea; ADCP</t>
  </si>
  <si>
    <t>DIEL VERTICAL MIGRATION; MEGANYCTIPHANES-NORVEGICA; NORTHEAST ATLANTIC; LIGURIAN SEA; ZOOPLANKTON; MICRONEKTON; EUPHAUSIIDS; COPEPODS; PATTERNS; DYNAMICS</t>
  </si>
  <si>
    <t>The vertical migration of Calanus finmarchicus and krill (Meganyctiphanes norvegica and Thysanoessa raschii) was monitored during the summer of 1999 in the Clyde Sea using a combination of acoustic and net sampling methods. A moored 300 kHz acoustic Doppler current profiler (ADCP) identified a sound scattering layer (SSL) that started to ascend to the surface during the last moments of daylight. Net samples showed that the SSL was mostly composed of krill. C. finmarchicus rose to the surface in the late afternoon, causing a small but detectable increase in backscatter that did not vary in time through the summer. The ascent of krill, by contrast, became earlier as day length decreased towards autumn. Net samples showed that the strong downward Doppler velocities following the rise of the SSL was caused by the descent of C. finmarchicus. The fact that this coordinated sinking of C. finmarchicus occurred earlier towards autumn, even though the time of ascent to surface remained constant, implies that the feeding 'window' diminished over the course of the season. Feeding conditions did not become significantly better during this same period, discounting satiation as a likely cause of descent. The close temporal coupling between the arrival of krill and the subsequent descent of C. finmarchicus from the surface suggests that midnight sinking in Calanus is a response to predation.</t>
  </si>
  <si>
    <t>British Antarctic Survey, Cambridge CB3 0ET, England; Highlands &amp; Isl Millenium Inst, Marine Sci Fac, Oban PA34 4AD, Argyll, Scotland; Scottish Assoc Marine Sci, Oban PA34 4AD, Argyll, Scotland</t>
  </si>
  <si>
    <t>UK Research &amp; Innovation (UKRI); Natural Environment Research Council (NERC); NERC British Antarctic Survey; UHI Millennium Institute; UHI Millennium Institute</t>
  </si>
  <si>
    <t>British Antarctic Survey, Madingley Rd, Cambridge CB3 0ET, England.</t>
  </si>
  <si>
    <t>gant@pcmail.nerc-bas.ac.uk</t>
  </si>
  <si>
    <t>Jarvis, Toby/JCP-5041-2023</t>
  </si>
  <si>
    <t>Jarvis, Toby/0000-0002-3363-614X</t>
  </si>
  <si>
    <t>10.3354/meps240183</t>
  </si>
  <si>
    <t>WOS:000178457600017</t>
  </si>
  <si>
    <t>Pütz, K; Ingham, RJ; Smith, JG; Lüthi, BH</t>
  </si>
  <si>
    <t>Winter dispersal of rockhopper penguins Eudyptes chrysocome from the Falkland Islands and its implications for conservation</t>
  </si>
  <si>
    <t>rockhopper penguins; satellite telemetry; winter migration; foraging areas; southwest Atlantic</t>
  </si>
  <si>
    <t>ILLEX-ARGENTINUS CEPHALOPODA; SPHENISCUS-MAGELLANICUS; SATELLITE TRACKING; POPULATION TRENDS; FISHERIES; OMMASTREPHIDAE; ATTACHMENT; PATAGONIA; GENTOO; DIET</t>
  </si>
  <si>
    <t>In 3 successive years (1998 to 2000), the winter migration of rockhopper penguins Eudyptes chrysocome from 3 separate breeding colonies on the Falkland Islands was monitored using satellite transmitters. After their moult, 34 penguins were followed for a mean transmission period of 81 +/- 21 d. While there were substantial spatial and temporal variations in migration patterns, we identified several foraging areas where food availability is presumably higher than elsewhere. Coastal areas of the Falkland Islands and South America appeared to provide a sufficient food supply, and many penguins commuted between these 2 areas, which are about 600 km apart. Rockhopper penguins from northern breeding colonies also used areas along the slope of the Patagonian Shelf up to 39degreesS, about 1400 km northwards. By contrast, only a few birds from the southern breeding colony migrated to the Burdwood Bank, which is situated about 250 km to the south of the Falkland Islands, and adjacent oceanic waters. None of the penguins in this study left the maritime zone of the Falkland Islands in an easterly direction to forage in oceanic waters. The mean distances covered per day by individual birds varied greatly, depending on the phase of the foraging trip. The overall mean travelling speed was 26 km d(-1) (range: 13 to 45 km d-1). Inter-annual variation was evident both in the use of different foraging areas, and also in the time at which the winter migration began. In 1998 and 2000, penguins from Seal Bay and Sea Lion Island left their breeding colony within 1 wk after being equipped with transmitters and did not return, whereas in 1999 most penguins made short foraging trips and returned repeatedly to their colonies for periods of up to 100 d. Potential threats to the rockhopper penguins during their winter migration, resulting from human activities such as fishing and oil pollution within the Falkland Islands maritime zone and the Argentine Exclusive Economic Zone, are discussed.</t>
  </si>
  <si>
    <t>Falklands Conservat, Stanley, Falkland Island, England; Antarctic Res Trust Switzerland, CH-8127 Forch, Switzerland</t>
  </si>
  <si>
    <t>k.putz@surfeu.de</t>
  </si>
  <si>
    <t>10.3354/meps240273</t>
  </si>
  <si>
    <t>WOS:000178457600025</t>
  </si>
  <si>
    <t>Shin, HC; Nicol, S</t>
  </si>
  <si>
    <t>Using the relationship between eye diameter and body length to detect the effects of long-term starvation on Antarctic krill Euphausia superba</t>
  </si>
  <si>
    <t>Antarctic krill; shrinkage; starvation; winter; eye</t>
  </si>
  <si>
    <t>SOUTH SHETLAND-ISLANDS; ADMIRALTY-BAY; GROWTH; SHRINKAGE; SEA; DANA; MATURATION; AGE</t>
  </si>
  <si>
    <t>Body shrinkage may be one of the strategies that Antarctic krill use to cope with food scarcity, particularly during winter. Despite their demonstrated ability to shrink, there are only very limited data to determine how commonly shrinkage occurs in the wild. It has been previously shown that laboratory-shrunk krill tend to conserve the size of the eye. This study examined whether the relationship between the eye diameter and body length could be used to detect whether krill had been shrinking, By tracking individuals over time and examining specimens sampled as groups, it was demonstrated that fed and starved krill are distinguishable by the relationship between the eye diameter and body length. The eye diameter of starved krill did not decrease, even when the animals had shrunk in overall body length, The eye diameter of well-fed krill continued to increase as overall length increased. This created a distinction between fed and starved krill, while no separation was detected in terms of the body length to weight relationship. Eye growth of krill re-commenced with re-growth of krill following shrinkage although there was some time lag. It would take approximately 2 moult cycles of shrinkage at modest rates to significantly change the eye diameter to body length relationship between normal and shrunk krill. If krill starve for a prolonged period in the wild, and hence shrink, the eye diameter to body length relationship should be able to indicate this, This would be particularly noticeable at the end of winter.</t>
  </si>
  <si>
    <t>Univ Tasmania, Inst Antarctic &amp; So Ocean Studies, Hobart, Tas 7001, Australia; Australian Antarctic Div, Antarctic Marine Living Resources Program, Kingston, Tas 7050, Australia</t>
  </si>
  <si>
    <t>Shin, HC (corresponding author), Korea Ocean Res &amp; Dev Inst, Polar Sci Lab, POB 29, Seoul 425600, South Korea.</t>
  </si>
  <si>
    <t>hcshin@kordi.re.kr</t>
  </si>
  <si>
    <t>10.3354/meps239157</t>
  </si>
  <si>
    <t>596QF</t>
  </si>
  <si>
    <t>WOS:000178175000015</t>
  </si>
  <si>
    <t>Kennedy, H; Thomas, DN; Kattner, G; Haas, C; Dieckmann, GS</t>
  </si>
  <si>
    <t>Particulate organic matter in Antarctic summer sea ice: concentration and stable isotopic composition</t>
  </si>
  <si>
    <t>POM; Antarctic sea ice; ice macroalgae; carbon isotopic composition</t>
  </si>
  <si>
    <t>WEDDELL-SEA; SOUTHERN-OCEAN; GROWTH-RATE; SURFACE-WATER; PLATELET ICE; CARBON; DELTA-C-13; PHYTOPLANKTON; MODEL; BIOGEOCHEMISTRY</t>
  </si>
  <si>
    <t>The chemical and isotopic data from sea ice collected over a wide area of the Weddell Sea, Antarctica, during the austral summer/early autumn illustrate the range of environmental conditions under which ice algae grow. A range of ice types and features were sampled including intact and layered ice floes and surface ponds. Sea ice communities were found in all these environments but the highest biomasses were found either at the base of ice floes, or in the interior of layered floes with quasi-continuous horizontal gaps at or shortly below the water level. In the layered floes, particulate organic carbon (POC) measured in the ice layer immediately overlying the gap water (280 to 6014 mumol dm(-3)) was in excess of what would be predicted if algal growth had occurred in a closed environment. The chemical composition of the gap water was strongly affected by biological activity in the overlying ice, which acts as a physical support for the algae retained within its matrix. The lowest range of POC (27 to 739 mumol dm(-3)) conformed to predictions of algal growth in a closed system and samples were collected from the interior of ice floes where there was essentially no potential for nutrient exchange. The surface ponds displayed nitrate (NO3-) exhaustion and total dissolved inorganic carbon (SigmaCO(2)) reductions consistent with nutrient limited algal growth. The stable carbon isotopic composition of the particulate organic matter (POM) across all habitat types sampled (delta(13)C(POC) -10.0 to -27.3parts per thousand) displayed a wide range but was much less variable than the range of POC concentrations might have implied. The assumption that the highest biomass of algae in sea ice will result in the most positive delta(13)C(POC) values cannot be generally applied. The isotopic composition of dissolved inorganic carbon (delta(13)C(SigmaCO2)) in gap waters and surface ponds varied from 0.15 to 3.0parts per thousand and was shown to be commensurate with the changes predicted from NO3- deficits caused by algal growth.</t>
  </si>
  <si>
    <t>Univ Coll N Wales, Sch Ocean Sci, Menai Bridge LL59 5EY, Anglesey, Wales; Alfred Wegener Inst Polar &amp; Marine Res, D-27515 Bremerhaven, Germany</t>
  </si>
  <si>
    <t>Bangor University; Helmholtz Association; Alfred Wegener Institute, Helmholtz Centre for Polar &amp; Marine Research</t>
  </si>
  <si>
    <t>Univ Coll N Wales, Sch Ocean Sci, Menai Bridge LL59 5EY, Anglesey, Wales.</t>
  </si>
  <si>
    <t>h.a.kennedy@bangor.ac.uk</t>
  </si>
  <si>
    <t>Thomas, David Neville/B-1448-2010; Haas, Christian/L-5279-2016; Kennedy, Hilary A/M-5574-2014; Dieckmann, Gerhard S/B-4307-2010</t>
  </si>
  <si>
    <t>Thomas, David Neville/0000-0001-8832-5907; Haas, Christian/0000-0002-7674-3500; Kennedy, Hilary A/0000-0003-2290-2120;</t>
  </si>
  <si>
    <t>10.3354/meps238001</t>
  </si>
  <si>
    <t>589YB</t>
  </si>
  <si>
    <t>WOS:000177788200001</t>
  </si>
  <si>
    <t>Ecology of subtropical hermit crabs in SW Madagascar: refuge-use and dynamic niche overlap</t>
  </si>
  <si>
    <t>niche dynamism; detrended correspondence analysis; DCA; littoral burrowing; Coenobita; Africa</t>
  </si>
  <si>
    <t>QUIRIMBA ISLAND; SHELL SELECTION; COMPETITION; RESOURCE; COEXISTENCE; MOZAMBIQUE; DECAPODA; PREDATION; DIVERSITY; GRADIENTS</t>
  </si>
  <si>
    <t>Three sympatric species of semi-terrestrial hermit crabs (Coenobita cavipes, C, rugosus and C. pseudorugosus) occur on SW Madagascar shores on the edge of a semi-desert. They have similar resource requirements, some of which are restricted, yet their populations are very abundant. All 3 species seek refuges, the type and extent of which were assessed in 5 size classes for each of the species at 6 sites. Refuge-use, principally burrowing, was governed by a series of factors: tidal range, individual size (mass), species identity, site, shade. Shell architecture did not, however, directly influence refuge-use. An existing ordination technique (detrended correspondence analysis, DCA) was modified by inserting refuge identities as 'species terms' to interpret the structure underlying multidimensional niche space. The results show that variability in the refuge suite sought by hermit crabs serves to partition niche space both overall at the species level, and on a site-by-site basis for each species. On high spring tides, the extent of burrowing (a strategy common to all 3 species) was reduced, and a DCA of this data set showed niche compression at this tidal phase. Whilst biologically mediated niche shifts are a well-established concept, the changing of niche overlap described here clearly differs, as it is temporally dynamic and physically (tidally) driven. Inclusion of intertidal and subtidal hermit crabs at the study site into a data matrix showed that most species were separated ecologically by 4 niche dimensions: shore zone, habitat type, shell type and refugial behaviour. Niche complimentarily was clear, as species which were similar in 1 or more dimensions (such as C. rugosus and C. pseudorugosus) differed in other dimensions. Refuge-use of Coenobita spp. hermit crabs (and equivalent clustering behaviour of intertidal species) seems, therefore, to be multifunctional, The behaviour appears crucial to environment extremity avoidance, but may be equally important in resource management through water conservation and shell-, habitat- and shore-zone-partitioning. The results indicate that the SW Madagascar hermit crab assemblage is a speciose guild with (5D) niche complimentarity and temporally dynamic niche overlap.</t>
  </si>
  <si>
    <t>FRONTIER, Soc Environm Explorat, London EC2A 3QP, England; Natl Univ Ireland Univ Coll Cork, Dept Zool &amp; Anim Ecol, Cork, Ireland</t>
  </si>
  <si>
    <t>University College Cork</t>
  </si>
  <si>
    <t>Barnes, DKA (corresponding author), British Antarctic Survey, Div Life Sci, Madingley Rd, Cambridge CB3 0ET, England.</t>
  </si>
  <si>
    <t>10.3354/meps238163</t>
  </si>
  <si>
    <t>WOS:000177788200015</t>
  </si>
  <si>
    <t>Woodd-Walker, RS; Ward, P; Clarke, A</t>
  </si>
  <si>
    <t>Large-scale patterns in diversity and community structure of surface water copepods from the Atlantic Ocean</t>
  </si>
  <si>
    <t>copepoda; diversity; community structure; latitudinal gradient; Atlantic Ocean</t>
  </si>
  <si>
    <t>ZOOPLANKTON FEEDING ECOLOGY; MARINE CYCLOPOID COPEPOD; TAXONOMIC DISTINCTNESS; LATITUDINAL GRADIENTS; SPECIES RICHNESS; NORTH PACIFIC; BIODIVERSITY; DISTRIBUTIONS; SEA; MIGRATIONS</t>
  </si>
  <si>
    <t>Diversity and structure of copepod assemblages were investigated using 259 WP2 zooplankton samples collected from the top 200 m of the Atlantic Ocean between 60degreesN and 63degreesS. Whilst richness at a number of taxonomic levels (genera-superfamily) demonstrated a smooth latitudinal discline from the tropics towards the poles, other diversity indices such as evenness and taxonomic distinctness showed abrupt changes around 40degreesN and 40degreesS, coincident with sea surface temperatures of 17 to 20degreesC. In the tropics and subtropics, copepod communities were characterised by high stable taxonomic diversity and a relatively even distribution of genera within samples. In contrast, at high latitudes and low temperatures communities showed large variation in overall diversity, evenness and distinctness. Multidimensional scaling and cluster analysis of transformed generic abundances, pooled into 5degrees latitudinal means, produced ordinations consistent with the recent subdivision of the oceans into 4 primary biomes based on temporal and spatial patterns of primary production. The copepod community corresponding to the Trades biome, where primary production is broadly continuous, exhibited high generic richness and evenness. In contrast, community structure in the Polar biome, where primary production is highly seasonal, was highly variable and dominated by a few genera. These genera tended to be herbivorous or omnivorous and stored lipid. The Westerlies biome and the Benguela province had intermediate copepod community characteristics. We therefore suggest that copepod diversity and community structure are closely tied not to temperature or energy input, but to the temporal patterns of primary and secondary production.</t>
  </si>
  <si>
    <t>British Antarctic Survey, Biol Sci Div, Cambridge CB3 0ET, England</t>
  </si>
  <si>
    <t>British Antarctic Survey, Biol Sci Div, Madingley Rd,High Cross, Cambridge CB3 0ET, England.</t>
  </si>
  <si>
    <t>rsww@pcmail.nerc-bas.ac.uk</t>
  </si>
  <si>
    <t>10.3354/meps236189</t>
  </si>
  <si>
    <t>576LQ</t>
  </si>
  <si>
    <t>WOS:000177007100018</t>
  </si>
  <si>
    <t>Marinelli, RL; Lovell, CR; Wakeham, SG; Ringelberg, DB; White, DC</t>
  </si>
  <si>
    <t>Experimental investigation of the control of bacterial community composition in macrofaunal burrows</t>
  </si>
  <si>
    <t>phospholipid fatty acids; microorganisms; polychaetes; bioturbation; irrigation</t>
  </si>
  <si>
    <t>LUGWORM ARENICOLA-MARINA; FATTY-ACID COMPOSITION; ANTARCTIC SEA ICE; MICROBIAL BIOMASS; CALLIANASSA-SUBTERRANEA; ESTUARINE SEDIMENTS; BENTHIC COMMUNITIES; POLYCHAETE; IRRIGATION; OXYGEN</t>
  </si>
  <si>
    <t>The burrows and tubes of infauna are complex and dynamic systems that promote significant heterogeneity in the ecological and geochemical properties of benthic systems. We experimentally evaluated the extent to which behaviors of macrofauna, including ventilation activity, the residence times of tubes in sediments and tube composition, influence the development and succession of microbial communities which line macrofaunal burrows (i.e. the burrow microbial biofilm), Our experiments used a burrow mimic system, which allowed manipulation of some biological and environmental factors while holding other factors constant, The biofilm microbial community was assessed using phospholipid fatty acid (PLFA) analysis, a sensitive measure of microbial biomass and a significant tool in the identification of some taxonomic and functional groups of microorganisms in marine systems, Results suggest that the burrow mimics supported the development of microbial assemblages with phospholipid signatures that were both similar to those found in natural burrows and responsive to experimental manipulation. Burrow mimic composition significantly affected PLFA signatures, within the range of compounds and concentrations observed in natural systems. Tubes that were coated with an organic polymer were characterized by lower microbial biomass than uncoated tubes and also exhibited a substantially different PLFA signature. The residence time of tube mimics in sediments also affected the PLFA signature. Tubes with a longer residence time were characterized by higher microbial biomass, and a distinct anaerobe signature, relative to tube mimics having shorter residence times, Thus, a distinct successional sequence was observed. Surprisingly, irrigation frequency, i.e. the rate at which burrows are renewed with fresh, oxic overlying water and rid of metabolic byproducts and other solutes from the host organism and surrounding sediments, had minor effects on PLFA signature within the burrow biofilm. Our results suggest that the properties of the burrow micro environment exert fundamental controls on microbial community composition in burrow biofilms and are likely to influence biogeochemical processes over short length scales in nearshore systems.</t>
  </si>
  <si>
    <t>Univ Maryland, Chesapeake Biol Lab, Ctr Environm Sci, Solomons, MD 20688 USA; Univ S Carolina, Dept Sci Biol, Columbia, SC 29208 USA; Skidaway Inst Oceanog, Savannah, GA 31411 USA; USA, Environm Res &amp; Dev Ctr, Vicksburg, MS 39180 USA; Univ Tennessee, Ctr Environm Biotechnol, Knoxville, TN 37932 USA</t>
  </si>
  <si>
    <t>University System of Maryland; University of Maryland Center for Environmental Science; University of South Carolina System; University of South Carolina Columbia; University System of Georgia; University of Georgia; Skidaway Institute of Oceanography; University of Tennessee System; University of Tennessee Knoxville</t>
  </si>
  <si>
    <t>Marinelli, RL (corresponding author), Univ Maryland, Chesapeake Biol Lab, Ctr Environm Sci, POB 38, Solomons, MD 20688 USA.</t>
  </si>
  <si>
    <t>marinelli@cbl.umces.edu</t>
  </si>
  <si>
    <t>10.3354/meps235001</t>
  </si>
  <si>
    <t>576DW</t>
  </si>
  <si>
    <t>WOS:000176988400001</t>
  </si>
  <si>
    <t>Shreeve, RS; Ward, P; Whitehouse, MJ</t>
  </si>
  <si>
    <t>Copepod growth and development around South Georgia: relationships with temperature, food and krill</t>
  </si>
  <si>
    <t>Rhincalanus gigas; C alanoides acutus; copepod; development; growth; krill; south Georgia</t>
  </si>
  <si>
    <t>MARINE PLANKTONIC COPEPODS; WEIGHT-SPECIFIC GROWTH; SUB-ANTARCTIC ISLAND; EGG-PRODUCTION; SECONDARY PRODUCTION; BODY-SIZE; PHYTOPLANKTON CONCENTRATION; POPULATION-DYNAMICS; VERTICAL MIGRATION; EUPHAUSIA-SUPERBA</t>
  </si>
  <si>
    <t>Measurements of egg production rates (EPR) and growth of the early stages of 2 of the Southern Ocean biomass dominant copepods, Calanoides acutus and Rhincalanus gigas, were made over the course of 4 consecutive summer cruises which were carried out in the vicinity of South Georgia. For both species, EPR was found to be weakly but significantly related to chlorophyll a (chl a) although for C. acutus it was below maximum levels recorded in spring. Juvenile mass specific growth rates (g) were found to be body mass, stage and species dependent. Mean g for C. acutus stages CII to CIV decreased from 0.24 to 0.14, and for R. gigas stages Cl to CIII from 0.06 to 0,04, Overall, values for both species were within the range predicted by recent global models of copepod growth. Neither stage duration nor g varied systematically with either temperature (mean, 0 to 60 m) or food (chl a, 0 to 60 m), However, carbon mass of nearly all species stages was negatively and significantly related to silicate levels (Mol m(-2), 0 to 60 m), suggesting the positive effect of past production levels, Ordination of zooplankton species occurrence by station across the survey area indicated that changes in abundance were more pronounced than changes in species composition, and that variation in total copepod abundance was also well explained by silicate levels. Our study indicated that changes in EPR, carbon mass and abundance of copepod populations at South Georgia were all strongly regulated by local primary production. Variation of chlorophyll biomass appeared largely dependent on temperature, rather than grazing pressure exerted by either copepods or krill. Krill at South Georgia were more abundant in colder, silicate replete waters and their presence is presumed to be governed by factors operating at the large scale. In contrast, copepod abundance appeared to differ in response to smaller scale variation in the environment and was linked through silicate to factors determining phytoplankton growth. In turn, chl a concentration was strongly and positively related to habitat temperature. This suggests the importance of the physical environment rather than grazing as ultimate factors controlling phytoplankton biomass in this productive ecosystem.</t>
  </si>
  <si>
    <t>rssh@nerc-bas.ac.uk</t>
  </si>
  <si>
    <t>Whitehouse, Martin J/E-1425-2013</t>
  </si>
  <si>
    <t>10.3354/meps233169</t>
  </si>
  <si>
    <t>563XL</t>
  </si>
  <si>
    <t>WOS:000176283200014</t>
  </si>
  <si>
    <t>Seasonal and interannual variation in foraging range and habitat of macaroni penguins Eudyptes chrysolophus at South Georgia</t>
  </si>
  <si>
    <t>satellite tracking; chick rearing; incubation; Southern Ocean; polar front</t>
  </si>
  <si>
    <t>ANTARCTIC CIRCUMPOLAR CURRENT; SURFACE TEMPERATURE DATA; TRACKED KING PENGUINS; SATELLITE TRACKING; POLAR FRONT; ECOLOGICAL SEGREGATION; CROZET ARCHIPELAGO; RECORDING DEVICES; BREEDING-SEASON; BIRD-ISLAND</t>
  </si>
  <si>
    <t>In marine ecosystems, characterisation of the foraging areas and habitats of predators is a key factor in interpreting their ecological role, We studied the foraging areas of the macaroni penguin Eudyptes chrysolophus at Bird Island, South Georgia, throughout the breeding seasons of 1999 to 2001 using satellite tracking. We investigated differences in foraging ranges and characteristics between different stages of the breeding season, between sexes, between years and between individuals, During incubation, on foraging trips of 10 to 26 d, both sexes travelled long distances from Bird Island (male average = 572 km; female average = 376 km) in a north-westerly direction towards the Maurice Ewing bank; some individuals, particularly males, travelled to forage in the Polar Frontal Zone. In contrast, during the chick-rearing period, both sexes mainly foraged relatively close (average 62 km) to South Georgia over the continental shelf. Foraging trip characteristics differed between males and females during chick rearing: females travelled further on average and on more direct trips. During chick rearing, males and females on longer foraging trips covered greater distances and travelled further from Bird Island, There were no interannual differences in characteristics of foraging trips, although sex differences in some parameters varied between years. The bearings of chick-rearing foraging trips were non-random and most were in a north-westerly direction, Variation, both intra- and inter-individual, in bearings of foraging trips was high. Travel speeds were slower during foraging trips in the chick-rearing period than during incubation, probably relating to the differences in distances travelled. The stage of the breeding season, associated constraints on the penguins at different stages, and sex were important in determining variation in foraging range and characteristics in macaroni penguins, but year and individual effects were relatively unimportant.</t>
  </si>
  <si>
    <t>Croxall, JP (corresponding author), British Antarctic Survey, Nat Environm Res Council, High Cross Madingley Rd, Cambridge CB3 0ET, England.</t>
  </si>
  <si>
    <t>10.3354/meps232291</t>
  </si>
  <si>
    <t>561DT</t>
  </si>
  <si>
    <t>WOS:000176123900024</t>
  </si>
  <si>
    <t>Graeve, M; Kattner, G; Wiencke, C; Karsten, U</t>
  </si>
  <si>
    <t>Fatty acid composition of Arctic and Antarctic macroalgae: indicator of phylogenetic and trophic relationships</t>
  </si>
  <si>
    <t>macroalgae; Arctic; Antarctic; fatty acids; polyunsaturates; biosynthesis</t>
  </si>
  <si>
    <t>BROWN-ALGAE; MARINE MACROALGAE; LIPIDS; CARBON</t>
  </si>
  <si>
    <t>The fatty acid composition of 6 Arctic and 14 Antarctic macroalgae species (Rhodophyta, Phaeophyta and Chlorophyta) from Kongsfjorden (west Spitsbergen, Arctic) and King George Island (Antarctic Peninsula) was investigated. The macroalgae were cultivated in nutrient-enriched seawater at low temperatures (0 to 5degreesC) and light conditions similar to natural irradiance. The most abundant fatty acids in the Arctic and Antarctic Rhodophyta were generally 20:5(n-3) and 16:0. The Arctic Palmaria palmata and the Antarctic Audouinella purpurea were characterised by very high proportions of 20:5(n-3) (67.3 and 60.3%, respectively). Other important fatty acids were 16:1(n-7) and 20:4 (n-6). Two species were dominated by 20:4 (n-6) (Phycodrys rubens, 35.3 % and Delesseria lancifolia, 31.1 %). In Ptilota gunneri and Rhodymenia subantarctica, 16:1 (n-7) accounted for 39.9 and 32.7 %, respectively. In the Phaeophyta, the major polyunsaturated fatty acids were 18:4(n-3), 20:5(n-3) and 20:4(n-6) followed by 18:3(n-3) and 18:2(n-6). The principal saturated fatty acid was 16:0. A high percentage of the uncommon monounsaturated fatty acid 16:1(n-5) (11.1 %) was found in Desmarestia muelleri sporophytes. Their gametophytes exhibited only traces of this component, but instead had double the amount of 18:2(n-6) and 18:3(n-3). The Arctic chlorophyte Prasiola crispa and the Antarctic Lambia antarctica had fatty acid compositions dominated by the polyunsaturated fatty acids 18:3(n-3) and 18:2(n-6). In L. antarctica, 18:1 (n-7) was present at higher levels than 18:2(n-6). The clear differences in fatty acid compositions of these 3 taxa are probably due to their different evolutionary position. The high proportions of 20:5(n-3) in the Rhodophyta reflect a 'marine'-like character and hence the phylogenetically oldest lineage. The Chlorophyta comprise the most 'modern' group and this is supported by primarily C-18 unsaturated fatty acids typical of the vegetative tissue of higher plants. The fatty acid composition of the Phaeophyta support their intermediate position. The clear differences between the macroalgal taxa, and also variations between species, make fatty acids a potential tracer for studies of food-web interactions.</t>
  </si>
  <si>
    <t>Alfred Wegener Inst Polar &amp; Marine Res, D-27570 Bremerhaven, Germany; Univ Rostock, Dept Biol, Inst Aquat Ecol, D-18051 Rostock, Germany</t>
  </si>
  <si>
    <t>Helmholtz Association; Alfred Wegener Institute, Helmholtz Centre for Polar &amp; Marine Research; University of Rostock</t>
  </si>
  <si>
    <t>Alfred Wegener Inst Polar &amp; Marine Res, Handelshafen 12, D-27570 Bremerhaven, Germany.</t>
  </si>
  <si>
    <t>mgraeve@awi-bremerhaven.de</t>
  </si>
  <si>
    <t>Nerot, Caroline/C-6952-2009; Graeve, Martin/B-5751-2017</t>
  </si>
  <si>
    <t>Graeve, Martin/0000-0002-2294-1915</t>
  </si>
  <si>
    <t>10.3354/meps231067</t>
  </si>
  <si>
    <t>556QH</t>
  </si>
  <si>
    <t>WOS:000175860100006</t>
  </si>
  <si>
    <t>Orejas, C; López-González, PJ; Gili, JM; Teixidó, N; Gutt, J; Arntz, WE</t>
  </si>
  <si>
    <t>Distribution and reproductive ecology of the Antarctic octocoral Ainigmaptilon antarcticum in the Weddell Sea</t>
  </si>
  <si>
    <t>Antarctic octocorals; reproductive patterns; distribution</t>
  </si>
  <si>
    <t>GORGONIAN PARAMURICEA-CLAVATA; SOFT CORAL; SEXUAL REPRODUCTION; ATLANTIC-OCEAN; GONADAL DEVELOPMENT; PENNATULA-ACULEATA; BIOLOGY; CYCLE; CNIDARIA; GROWTH</t>
  </si>
  <si>
    <t>The spatial distribution, density and reproductive ecology of Ainigmaptilon antarcticum was studied using samples (colonies) collected during the EASIZ (Ecology of the Antarctic Sea Ice Zone) cruises I, II, and III, (1996, 1998, and 2000). Samples were taken using Agassiz and bottom trawls between 150 and 600 m depth in conjunction with a Remotely Operated Vehicle (ROV, video recording transects). A. antarcticum showed a very patchy distribution with a mean density of 12 per 100 m(2) (SD +/- 23) in the study area. This gorgonian species is gonochoric with a sex ratio of 1:1. Two size classes of oocytes in different developmental stages were observed in summer (January to March) and autumn (April to May), ranging from 25 to 700 mum in summer, and from 20 to 900 mum in autumn. Differences in developmental stages among different zones of the colony were observed. The apical and medial part showed the highest fecundity. The distribution of gonad size differed between summer and autumn. The relative frequency of the largest oocyte size class decreased in the autumn samples. No larvae were found. The results are discussed in the context of the relationship between reproductive strategies of marine invertebrates and environmental factors.</t>
  </si>
  <si>
    <t>Alfred Wegener Inst Polar &amp; Marine Res, D-27568 Bremerhaven, Germany; Univ Sevilla, Dept Fisiol &amp; Zool, Fac Biol, E-41012 Seville, Spain; CSIC, Inst Ciencies Mar, CMIMA, E-08003 Barcelona, Spain</t>
  </si>
  <si>
    <t>Helmholtz Association; Alfred Wegener Institute, Helmholtz Centre for Polar &amp; Marine Research; University of Sevilla; Consejo Superior de Investigaciones Cientificas (CSIC); CSIC - Centro Mediterraneo de Investigaciones Marinas y Ambientales (CMIMA); CSIC - Instituto de Ciencias del Mar (ICM)</t>
  </si>
  <si>
    <t>Orejas, C (corresponding author), Alfred Wegener Inst Polar &amp; Marine Res, Columbusstr, D-27568 Bremerhaven, Germany.</t>
  </si>
  <si>
    <t>orejas@zmt.uni-bremen.de</t>
  </si>
  <si>
    <t>Orejas, Covadonga/B-1644-2012; Lopez-González, Pablo J./Y-6440-2018</t>
  </si>
  <si>
    <t>Lopez-González, Pablo J./0000-0002-7348-6270; Orejas Saco del Valle, Covadonga/0000-0002-2580-1002; Teixido, Nuria/0000-0001-9286-2852; Gutt, Julian/0000-0003-3773-9370</t>
  </si>
  <si>
    <t>10.3354/meps231101</t>
  </si>
  <si>
    <t>WOS:000175860100010</t>
  </si>
  <si>
    <t>Fach, BA; Hofmann, EE; Murphy, EJ</t>
  </si>
  <si>
    <t>Modeling studies of antarctic krill Euphausia superba survival during transport across the Scotia Sea</t>
  </si>
  <si>
    <t>Antarctic krill; Euphausia superba; Scotia Sea; Lagrangian model; food limitation</t>
  </si>
  <si>
    <t>MARGINAL ICE-ZONE; SOUTH-GEORGIA; ELEMENTAL COMPOSITION; WEDDELL-SEA; INSITU OBSERVATIONS; METABOLIC-ACTIVITY; MOLT CYCLE; PACK-ICE; GROWTH; DANA</t>
  </si>
  <si>
    <t>Antarctic krill Euphausia superba spawned on the outer continental shelf of the west Antarctic Peninsula can be entrained into the Southern Front of the Antarctic Circumpolar Current and transported across the Scotia Sea to South Georgia. A time-dependent, size-structured, physiologically based krill growth model was used to assess the food resources that are needed to sustain Antarctic krill during transport across the Scotia Sea and to allow them to grow to a size observed at South Georgia. Initial Lagrangian simulations provide trajectories that are followed by particles released on the west Antarctic Peninsula shelf. Pelagic phytoplankton concentrations along these trajectories are extracted from historical Coastal Zone Color Scanner measurements from the Antarctic Peninsula-Scotia Sea region and are input to the growth model. The results of these simulations show that pelagic phytoplankton concentrations are not sufficient to support continuous growth of Antarctic krill during the 140 to 160 d needed for transport to South Georgia. The inclusion of a supplemental food source during part of the transport time, such as sea ice algae (up to 80 mg chl a m(-3)), does not significantly alter this result. Survival and growth of larval krill during modeled transport is, however, enhanced by encounters with mesoscale patches of high chlorophyll concentrations (1 mg m(-3)), while subadults and adults benefit less from these conditions. Further simulations show the importance of an additional food source, such as heterotrophic food, for the survival of subadult and adult Antarctic krill. For all planktonic food scenarios tested, krill that begin transport at the Antarctic Peninsula did not reach the smallest age group often observed at South Georgia, the 2+ group, during the 140 to 160 d of transport. Including the effect of increasing temperature across the Scotia Sea on krill growth rate does not significantly alter these results, since the maximum increase in growth due to increased temperature obtained in the simulations was 1.0 mm for both 2 and 22 mm Antarcic krill. These simulations suggest the possibility of alternative transport scenarios, such as Antarctic krill beginning transport at the Antarctic Peninsula in austral summer and overwintering under the sea ice that extends northward from the Weddell Sea into the Scotia Sea. Such an interrupted transport would allow the Antarctic krill to overwinter in a potentially better food environment and begin transport again the following year, growing to a size that is within the range observed for Antarctic krill populations at South Georgia.</t>
  </si>
  <si>
    <t>Old Dominion Univ, Ctr Coastal Phys Oceanog, Norfolk, VA 23529 USA; British Antarctic Survey, NERC, Cambridge CB3 0ET, England</t>
  </si>
  <si>
    <t>Old Dominion University; UK Research &amp; Innovation (UKRI); Natural Environment Research Council (NERC); NERC British Antarctic Survey</t>
  </si>
  <si>
    <t>Fach, BA (corresponding author), Old Dominion Univ, Ctr Coastal Phys Oceanog, Crittenton Hall, Norfolk, VA 23529 USA.</t>
  </si>
  <si>
    <t>fach@ccpo.odu.edu</t>
  </si>
  <si>
    <t>Fach, Bettina A/JCE-6687-2023; murphy, eugene/GZL-1620-2022; Fach, Bettina A/B-6003-2016</t>
  </si>
  <si>
    <t>Fach, Bettina A/0000-0003-4688-1918</t>
  </si>
  <si>
    <t>10.3354/meps231187</t>
  </si>
  <si>
    <t>Green Accepted, Green Submitted, Bronze</t>
  </si>
  <si>
    <t>WOS:000175860100017</t>
  </si>
  <si>
    <t>Nicholls, DG; Robertson, CJR; Prince, PA; Murray, MD; Walker, KJ; Elliott, GP</t>
  </si>
  <si>
    <t>Foraging niches of three Diomedea albatrosses</t>
  </si>
  <si>
    <t>Diomedea sp.; great albatrosses; satellite tracking; foraging; non-breeding birds; breeding birds</t>
  </si>
  <si>
    <t>PETRELS PROCELLARIA-AEQUINOCTIALIS; WANDERING ALBATROSSES; SATELLITE TRACKING; SOUTH-ATLANTIC; GIANT PETRELS; INDIAN-OCEAN; EXULANS; INFORMATION; STRATEGIES; AUSTRALIA</t>
  </si>
  <si>
    <t>Three species of biennial breeding southern hemisphere albatrosses-Diomedea sanfordi from the Chatham Islands, D. antipodensis from Antipodes Island and D. exulans from South Georgia-were tracked using CLS-Argos satellite system during the 1990s. Harness attachment and duty cycling of transmitters enabled long-term deployments covering both the breeding and non-breeding ranges. The feeding ranges for breeding birds of each species were different. D. sanfordi foraged over continental shelves to the shelf edge, whereas D. antipodensis and D. exulans ranged widely over deep water to the shelf edge. Mapping of satellite-determined locations for D. sanfordi and D. antipodensis showed that the demarcation was between the 1000 and 2000 m undersea contour. Non-breeding D. sanfordi wintered over the Patagonian shelf or over the Chilean' shelf. There they were virtually confined to seas over the continental shelves of &lt;200 m depth, occasionally out to &lt;1000 m depth. Breeding D. exulans from South Georgia feeding chicks over the same period foraged pelagically and along steep continental slopes up to depths &gt;1000 m, and on less steep slopes to 200 m depth. These data provide the best evidence yet of habitat preference and segregation consistent across breeding and non-breeding seasons for closely related seabirds.</t>
  </si>
  <si>
    <t>Chisholm Inst, Dandenong, Vic 3175, Australia; Wild Press, Wellington 6038, New Zealand; British Antarctic Survey, NERC, Cambridge CB3 0ET, England</t>
  </si>
  <si>
    <t>Nicholls, DG (corresponding author), Chisholm Inst, POB 684, Dandenong, Vic 3175, Australia.</t>
  </si>
  <si>
    <t>d.nicholls@chisholm.vic.edu.au</t>
  </si>
  <si>
    <t>10.3354/meps231269</t>
  </si>
  <si>
    <t>WOS:000175860100024</t>
  </si>
  <si>
    <t>Fauchald, P; Erikstad, KE</t>
  </si>
  <si>
    <t>Scale-dependent predator-prey interactions: the aggregative response of seabirds to prey under variable prey abundance and patchiness</t>
  </si>
  <si>
    <t>spatial distribution; hierarchical patch structure; capelin; Mallotus villosus; murre; Uria spp.; Barents Sea</t>
  </si>
  <si>
    <t>CAPELIN MALLOTUS-VILLOSUS; HERRING CLUPEA-HARENGUS; BARENTS SEA; BRUNNICHS GUILLEMOTS; ANTARCTIC KRILL; DIVING DEPTHS; URIA; COMMON; DIETS; FISH</t>
  </si>
  <si>
    <t>The aggregative response of seabirds to their prey has frequently been measured through their spatial coherence during ship board surveys. In this study, we investigate the aggregative response of murres Uria spp. to capelin Mallotus villosus in relation to yearly changes in capelin abundance and patchiness from a 9 yr data set collected in the Barents Sea. A recent analysis on the spatial distribution of capelin and murres in the Barents Sea reported a hierarchical patch structure, whereby small-scale patches were nested within patches at larger scales. In the present study we carry out similar analyses for each of the 9 years. During the 9 yr period, the estimated total biomass of capelin varied between 100 000 and 7 300 000 t. We identified 2 hierarchical levels of patchiness with characteristic scales of 200 to 300 km and 70 km respectively. We found close relationships between yearly variation in capelin abundance, capelin patchiness and the concordance between capelin and murres at both levels. The patchiness of capelin, as measured by the first-order spatial autocorrelation, increased with increasing capelin abundance at the large-scale level, and there was a similar tendency at the small-scale level. At the large-scale level, the spatial concordance between murres and capelin increased with both increasing capelin density and increasing capelin patchiness. At the small-scale level, the concordance between murres and capelin increased with increasing capelin patchiness. Our results suggest that increased prey patchiness and increased prey abundance enhance the possibility of murres finding satisfactory capelin concentrations. The reduction in prey patchiness with low prey abundance might force predators to switch to other prey items, and might therefore have a stabilizing effect on predator-prey interactions.</t>
  </si>
  <si>
    <t>Univ Tromso, Fac Sci, Dept Biol, N-9037 Tromso, Norway; Norwegian Inst Nat Res, Div Arctic Ecol, Polar Environm Ctr, N-9296 Tromso, Norway</t>
  </si>
  <si>
    <t>UiT The Arctic University of Tromso; Norwegian Institute Nature Research</t>
  </si>
  <si>
    <t>Univ Tromso, Fac Sci, Dept Biol, N-9037 Tromso, Norway.</t>
  </si>
  <si>
    <t>per.fauchald@nina.no</t>
  </si>
  <si>
    <t>Fauchald, Per/AAV-4242-2021</t>
  </si>
  <si>
    <t>10.3354/meps231279</t>
  </si>
  <si>
    <t>WOS:000175860100025</t>
  </si>
  <si>
    <t>Hirst, AG; Kiorboe, T</t>
  </si>
  <si>
    <t>Mortality of marine planktonic copepods: global rates and patterns</t>
  </si>
  <si>
    <t>copepod; mortality; fecundity; evelopment time; sex ratio t; emperature; body mass; scaling; predation</t>
  </si>
  <si>
    <t>WEIGHT-SPECIFIC GROWTH; EGG-PRODUCTION RATES; LONG-ISLAND SOUND; ACARTIA-TONSA; CALANUS-FINMARCHICUS; POPULATION-DYNAMICS; FOOD AVAILABILITY; TEMPORAL VARIABILITY; SECONDARY PRODUCTION; NATURAL MORTALITY</t>
  </si>
  <si>
    <t>Using life history theory we make predictions of mortality rates in marine epi-pelagic copepods from field estimates of adult fecundity, development times and adult sex ratios. Predicted mortality increases with temperature in both broadcast and sac spawning copepods, and declines with body weight in broadcast spawners, while mortality in sac spawners is invariant with body size. Although the magnitude of copepod mortality does lie close to the overall general pattern for pelagic animals, copepod mortality scaling is much weaker, implying that small copepods are avoiding some mortality agent/s that other pelagic animals of a similar size do not, We compile direct in situ estimates of copepod mortality and compare these with our indirect predictions; we find the predictions generally match the field measurements well with respect to average rates and patterns. Finally, by comparing in situ adult copepod longevity with predation-free laboratory longevity, we are able to make the first global approximations of the natural rates of predation mortality. Predation and total mortality both increase with increasing temperature; however, the proportion that predation makes of total adult mortality is independent of ambient temperature, on average accounting for around 2/3 to 3/4 of the total.</t>
  </si>
  <si>
    <t>Heriot Watt Univ, Dept Biol Sci, Edinburgh EH14 4AS, Midlothian, Scotland; Danish Inst Fisheries Res, DK-2920 Charlottenlund, Denmark</t>
  </si>
  <si>
    <t>Heriot Watt University</t>
  </si>
  <si>
    <t>aghi@bas.ac.uk</t>
  </si>
  <si>
    <t>Hirst, Andrew G/A-6296-2013; Kiørboe, Thomas/ABI-4733-2020</t>
  </si>
  <si>
    <t>Kiørboe, Thomas/0000-0002-3265-336X; Hirst, Andrew/0000-0001-9132-1886</t>
  </si>
  <si>
    <t>10.3354/meps230195</t>
  </si>
  <si>
    <t>551XE</t>
  </si>
  <si>
    <t>WOS:000175588600017</t>
  </si>
  <si>
    <t>Winship, AJ; Trites, AW; Rosen, DAS</t>
  </si>
  <si>
    <t>A bioenergetic model for estimating the food requirements of Steller sea lions Eumetopias jubatus in Alaska, USA</t>
  </si>
  <si>
    <t>bioenergetic model; Eumetopias jubatus; food consumption; Steller sea lion; sensitivity analysis</t>
  </si>
  <si>
    <t>NORTHERN ELEPHANT SEAL; CLUPEA-PALLASI VALENCIENNES; SOMATIC ENERGY CONTENT; ANTARCTIC FUR SEALS; HARP SEALS; CALLORHINUS-URSINUS; PHOCA-GROENLANDICA; FORAGING BEHAVIOR; SEASONAL-CHANGES; WALLEYE POLLOCK</t>
  </si>
  <si>
    <t>A generalized bioenergetic model was used to estimate the food requirements of Steller sea lions Eumetopias jubatus in Alaska, USA. Inputs included age- and sex-specific energy requirements by date, population size and composition, and diet composition and energy content. Error in model predictions was calculated using uncertainty in parameter values and Monte Carlo simulation methods. Our model suggests that energy requirements of individuals were generally lowest in the summer breeding season (June to August) and highest in the winter (December to February) and spring (March to May) mainly due to changes in activity budgets. Predicted relative daily food requirements were highest for young animals (12 +/- 3% SD and 13 +/- 3% of body mass for 1 yr old males and females respectively) and decreased with age (5 +/- 1% and 6 +/- 1% of body mass for 14 yr old males and 22 yr old females respectively), The mean daily food requirement of pregnant females predicted by the model was only marginally greater than the predicted mean daily food requirement of non-pregnant females of the same age. However, the model suggested that the mean daily food requirement of females nursing pups was about 70% greater than females of the same age without pups. Of the 3 sets of model parameters (diet, population, and bioenergetic), uncertainty in diet and bioenergetic parameters resulted in the largest variation in model predictions. The model provides a quantitative estimate of the Steller sea lion population's food requirements and also suggests directions for future research.</t>
  </si>
  <si>
    <t>Univ British Columbia, Dept Zool, Vancouver, BC V6T 1Z4, Canada; Univ British Columbia, Fisheries Ctr, Marine Mammal Res Unit, Vancouver, BC V6T 1Z4, Canada</t>
  </si>
  <si>
    <t>University of British Columbia; University of British Columbia</t>
  </si>
  <si>
    <t>Univ British Columbia, Dept Zool, Room 18,Hut B-3,6248 Biol Sci Rd, Vancouver, BC V6T 1Z4, Canada.</t>
  </si>
  <si>
    <t>winship@zoology.ubc.ca</t>
  </si>
  <si>
    <t>10.3354/meps229291</t>
  </si>
  <si>
    <t>544EC</t>
  </si>
  <si>
    <t>WOS:000175144400025</t>
  </si>
  <si>
    <t>Kaartvedt, S; Larsen, T; Hjelmseth, K; Onsrud, MSR</t>
  </si>
  <si>
    <t>Is the omnivorous krill Meganyctiphanes norvegica primarily a selectively feeding carnivore?</t>
  </si>
  <si>
    <t>Temora; Calanus; visual feeding; gut fluorescence; diel vertical migration</t>
  </si>
  <si>
    <t>VERTICAL MIGRATIONS; EUPHAUSIA-SUPERBA; ANTARCTIC KRILL; NORTHERN NORWAY; COASTAL WATERS; ZOOPLANKTON; PREDATION; COPEPODS; CALANUS; OSLOFJORDEN</t>
  </si>
  <si>
    <t>Feeding of the krill Meganyctiphanes norvegica was studied at a 120 m and a 200 m deep site in the Oslofjord, Norway, Converting stomach content of copepod mandibles and gut fluorescence into carbon equivalents suggested that the highest carbon gain was from carnivorous feeding, although contribution from herbivorous feeding was of the same order of magnitude in spring. High daytime gut fluorescence during spring suggested that sedimenting algae were efficiently cropped in deep water, On other occasions algae were exploited during nocturnal vertical migrations. In late summer, M. norvegica acted as a selectively feeding carnivore, primarily preying on Temora longicornis during nocturnal migrations to upper layers, Algal food was neglected at this time. During winter, the feeding conditions differed between the 2 stations. Estimated carbon equivalents of the stomach content were high at the shallowest site, and low at the deepest site. We ascribe this difference to the ability of M. norvegica to visually detect and exploit overwintering Calanus spp. during daytime at the 120 m station, while Calanus spp. overwintered below the daytime depth of M, norvegica at the 200 m deep station. Cyclopoid copepods were normally under-represented in the stomach contents.</t>
  </si>
  <si>
    <t>Kaartvedt, S (corresponding author), Univ Oslo, Dept Biol, POB 1064, N-0316 Oslo, Norway.</t>
  </si>
  <si>
    <t>stein.kaartvedt@bio.uio.no</t>
  </si>
  <si>
    <t>10.3354/meps228193</t>
  </si>
  <si>
    <t>535QK</t>
  </si>
  <si>
    <t>WOS:000174655000017</t>
  </si>
  <si>
    <t>Cherel, Y; Bocher, P; De Broyer, C; Hobson, KA</t>
  </si>
  <si>
    <t>Food and feeding ecology of the sympatric thin-billed Pachyptila belcheri and Antarctic P-desolata prions at Iles Kerguelen, Southern Indian Ocean</t>
  </si>
  <si>
    <t>Euphausia superba; Pachyptila; petrels; seabirds; trophic relationships; stable-carbon isotopes; stable-nitrogen isotopes; Themisto gaudichaudii</t>
  </si>
  <si>
    <t>PENGUIN APTENODYTES-PATAGONICUS; EUPHAUSIA-SUPERBA DANA; STABLE ISOTOPES; TROPHIC RELATIONSHIPS; INTERANNUAL VARIATION; WATER MASSES; BIRD-ISLAND; PRYDZ BAY; DIET; FEATHERS</t>
  </si>
  <si>
    <t>The food and feeding ecology of the 2 closely related species of prions Pachyptila belcheri and R desolata was investigated over 3 consecutive chick-rearing periods at Iles Kerguelen, the only place where they nest sympatrically in large numbers. In all years, the 2 prion species fed on crustaceans, with a small proportion of mesopelagic fish and squid. The hyperiid amphipod Themisto gaudichaudii was consistently the dominant prey item, accounting for 76 and 70 % by number, and 57 and 57 % by reconstituted mass of the diet of R belcheri and P. desolata, respectively. Prions, however, were segregated by feeding on different euphausiids, P. belcheri on Thysanoessa sp. (18 % by number and 16% by mass) and P. desolata on Euphausia vallentini (9% by number and 15% by mass). R desolata also caught more small prey such as copepods (9 vs &lt;1% by number) and cypris larvae of Lepas australis (8 vs 3% by number) than P. belcheri, which can be related to the beak filtering apparatus present only in the former species, Biogeography of the prey and their state of digestion indicate that prions foraged in a wide variety of marine habitats, including the kelp belt, kelp rafts, and coastal, neritic and oceanic waters. Noticeable is the occurrence of E. superba in a significant number of food samples (15 and 10% for P. belcheri and P. desolata, respectively), suggesting feeding in distant foraging grounds in southern Antarctic waters, &gt;1000 km from the breeding colonies, during the chick-rearing period. The stable-carbon and -nitrogen isotopic compositions of chick feathers were identical in both species, indicating no important trophic segregation during the breeding period, when adult birds are central-place foragers. The ratios were, however, different in adult feathers, suggesting moulting in Antarctic waters for P. belcheri and in subtropical waters for P. desolata, i.e. in distinct foraging areas when birds are not constrained to return to the colonies.</t>
  </si>
  <si>
    <t>Ctr Etud Biol Chize, UPR 1934 CNRS, F-79360 Villiers En Bois, France; Univ La Rochelle, Lab Biol &amp; Environm Marins, F-17026 La Rochelle, France; Inst Royal Sci Nat Belgique, Dept Invertebres, B-1000 Brussels, Belgium; Environm Canada, Prairie &amp; No Wildlife Res Ctr, Saskatoon, SK S7N 0X4, Canada</t>
  </si>
  <si>
    <t>La Rochelle Universite; Environment &amp; Climate Change Canada</t>
  </si>
  <si>
    <t>Cherel, Y (corresponding author), Ctr Etud Biol Chize, UPR 1934 CNRS, BP 14, F-79360 Villiers En Bois, France.</t>
  </si>
  <si>
    <t>cherel@cebc.cnrs.fr</t>
  </si>
  <si>
    <t>Hobson, Keith/Q-9306-2019</t>
  </si>
  <si>
    <t>10.3354/meps228263</t>
  </si>
  <si>
    <t>WOS:000174655000022</t>
  </si>
  <si>
    <t>Cherel, Y; Bocher, P; Trouvé, C; Weimerskirch, H</t>
  </si>
  <si>
    <t>Diet and feeding ecology of blue petrels Halobaena caerulea at Iles Kerguelen, Southern Indian Ocean</t>
  </si>
  <si>
    <t>Euphausia superba; mesopelagic fish; seabirds; stable carbon isotopes; stable nitrogen isotopes; Themisto gaudichaudii; Thysanoessa</t>
  </si>
  <si>
    <t>PENGUIN APTENODYTES-PATAGONICUS; SHORT-TAILED SHEARWATERS; ANTARCTIC MARION ISLAND; EUPHAUSIA-SUPERBA DANA; PRYDZ BAY REGION; STABLE ISOTOPES; PELAGIC SEABIRD; SALPA-THOMPSONI; FORAGING TRIPS; BILLED PRION</t>
  </si>
  <si>
    <t>The food and feeding ecology of the blue petrel Halobaena caerulea was investigated over 4 consecutive chick-rearing periods at Iles Kerguelen, In all years, blue petrels fed on a large diversity of crustaceans and fish, with a small proportion of squid and other organisms. Crustaceans ranked first by number (98 %) and second by reconstituted mass (37 %). The hyperiid Themisto gaudichaudii and the euphausiid Thysanoessa sp. were the dominant prey items, accounting each for 42 % by number, and for 12 and 4 % by mass of the diet, respectively, Other important crustacean prey were the Antarctic krill Euphausia superba (2% by number and 10% by mass) and the large shrimp Pasiphaea scotiae (&lt;1 and 5 %, respectively). Fish were minor items by number (&lt;1%) but, owing to their large size, they dominated the diet by reconstituted mass (57 %), Mesopelagic fish of the families Myctophidae (14 % by mass) and Melamphaidae (12 %) were the main fish prey together with the gempylid Paradiplospinus gracilis (19 %). Adult blue petrels use a 2-fold foraging strategy, performing short trips (ST, 2 d on average) and long trips (LT, 7 d) during the chick-rearing period, Birds fed more on T gaudichaudii during ST and more on Thysanoessa sp, during LT. The subantarctic krill Euphausia vallentini were found in ST samples, and Antarctic krill and stomach oil were found in LT samples. Biogeography of the prey shows that blue petrels fed in a wide variety of marine habitats, During ST, they foraged in the kelp belt and over the shelf, but favoured oceanic waters in the vicinity of the archipelago. During LT, the occurrence of Antarctic krill indicates feeding in southern Antarctic waters, &gt; 1000 km from the breeding colonies, but blue petrels also foraged on their way back to Iles Kerguelen from these distant foraging grounds to feed their chicks. A comparison of the stable carbon and nitrogen isotopic compositions of chick and adult feathers reveals that adult blue petrels fed at the same trophic level during the chick-rearing and moulting period, and that they renew their flight feathers in Antarctic waters.</t>
  </si>
  <si>
    <t>Ctr Etud Biol Chize, UPR 1934 CNRS, F-79360 Villiers En Bois, France; Univ La Rochelle, Lab Biol &amp; Environm Marins, F-17026 La Rochelle, France</t>
  </si>
  <si>
    <t>La Rochelle Universite</t>
  </si>
  <si>
    <t>Weimerskirch, Henri/F-5562-2013; Weimerskirch, Henri/K-7306-2019; Bond, Alexander L/A-3786-2010</t>
  </si>
  <si>
    <t>Weimerskirch, Henri/0000-0002-0457-586X;</t>
  </si>
  <si>
    <t>10.3354/meps228283</t>
  </si>
  <si>
    <t>WOS:000174655000023</t>
  </si>
  <si>
    <t>Harcourt, RG; Bradshaw, CJA; Dickson, K; Davis, LS</t>
  </si>
  <si>
    <t>Foraging ecology of a generalist predator, the female New Zealand fur seal</t>
  </si>
  <si>
    <t>fur seals; diet; dive behaviour; dive bouts; foraging trips; satellite telemetry; seasonal differences</t>
  </si>
  <si>
    <t>ARCTOCEPHALUS-GAZELLA PETERS; NORTHERN ELEPHANT SEALS; TRACKED KING PENGUINS; FISH PREY; DIVING BEHAVIOR; INTERANNUAL VARIABILITY; SURFACE TEMPERATURES; SEASONAL-VARIATION; BREEDING-SEASON; ANTARCTIC KRILL</t>
  </si>
  <si>
    <t>This study examined how diet, foraging location and diving behaviour of female New Zealand fur seals Arctocephalus forsteri at Otago Peninsula, New Zealand (45degrees52' S, 170degrees44' E), varied in relation to prey abundance among seasons in 1994 and 1995. Time-depth recorders measured the diving behaviour of 24 lactating female fur seals, during summer, autumn or winter of 1994 and summer and autumn of 1995. Foraging locations were obtained by deploying satellite transmitters in summer, autumn and winter of 1994 only. Estimated biomass of prey items was determined from 690 scats and 166 regurgitates collected over summer, autumn and winter of both years, and compared with abundance data from research trawls in the same area. Foraging trip duration increased during the cooler seasons. Female fur seals showed a clear bout structure in dive behaviour, with the relative proportion of 3 main bout types (Long, Shallow, Deep) varying with season. Time between bouts (IBI) and bout duration varied with season, suggesting that prey distribution and prey encounter rate also varied. Linear discriminant analysis of the dive and foraging trip characteristics of individual females demonstrated clear seasonal differences. Females foraged on or near the continental slope in summer and farther offshore in autumn. Satellite telemetry locations and diet suggest principally inshore foraging during winter. Fur seals ate predominantly arrow squid Nototodarus sloanii during summer and autumn of both years, although fish, particularly myctophids, were persistent in the diet. Arrow squid were less common in winter when diet was more varied, and an inshore, benthic fish, ahuru Auchenoceros punctatus was dominant. There was no relationship between the annual changes in abundance of major prey species as measured by research trawls and their occurrence in seal diet. Overall, changes in dive behaviour may reflect changes in prey selection as prey abundance and availability change among seasons.</t>
  </si>
  <si>
    <t>Univ Otago, Dept Zool, Dunedin, New Zealand; Macquarie Univ, Grad Sch Environm, Marine Mammal Res Grp, Sydney, NSW 2109, Australia; Univ Tasmania, Sch Zool, Antarctic Wildlife Res Unit, Hobart, Tas 7001, Australia</t>
  </si>
  <si>
    <t>University of Otago; Macquarie University; University of Tasmania</t>
  </si>
  <si>
    <t>Univ Otago, Dept Zool, POB 56, Dunedin, New Zealand.</t>
  </si>
  <si>
    <t>rharcour@ecosys.gse.mq.edu.au</t>
  </si>
  <si>
    <t>Davis, Lloyd/HJI-3533-2023; Bradshaw, Corey J. A./A-1311-2008</t>
  </si>
  <si>
    <t>Bradshaw, Corey J. A./0000-0002-5328-7741; Harcourt, Robert/0000-0003-4666-2934</t>
  </si>
  <si>
    <t>10.3354/meps227011</t>
  </si>
  <si>
    <t>533RZ</t>
  </si>
  <si>
    <t>WOS:000174545200002</t>
  </si>
  <si>
    <t>Falk-Petersen, S; Dahl, TM; Scott, CL; Sargent, JR; Gulliksen, B; Kwasniewski, S; Hop, H; Millar, RM</t>
  </si>
  <si>
    <t>Lipid biomarkers and trophic linkages between ctenophores and copepods in Svalbard waters</t>
  </si>
  <si>
    <t>lipids; fatty acid profiles; Mertensia ovum; Beroe cucumis; Arctic</t>
  </si>
  <si>
    <t>FATTY-ACID-COMPOSITION; ANTARCTIC FUR SEALS; MARGINAL ICE-ZONE; BARENTS-SEA; NORTHERN NORWAY; NATURAL-HISTORY; MERTENSIA-OVUM; BLUBBER; BEROE; DIET</t>
  </si>
  <si>
    <t>The lipid class compositions of the ctenophores Mertensia ovum and Beroe cucumis were very similar, with polar lipid and wax esters each accounting for 35 to 40% of the total. The fatty acid compositions of the polar lipids in the 2 species were essentially the same, with 22:6n3 and 20:5n3 in a ratio of 2:1 accounting for more than 40% of the total. The fatty acid and fatty alcohol compositions of the wax esters of both species were also essentially the same, with 20:1n9 and 22:1n11 fatty alcohols present in equal amounts accounting for 60% of the total fatty alcohol composition. The fatty acid and fatty alcohol compositions of the wax esters of M, ovum and B, cucumis were averaged and compared, using principal component analyses, to averages derived from published data for the potential prey species: Calanus finmarchicus, C. glacialis, C. hyperboreus, Pseudocalanus acuspes, Acartia longiremis and Metridia longa, The results were consistent with Calanus spp., especially C. glacialis, being the major prey of M. ovum and with M. ovum being the major prey of B. cucumis.</t>
  </si>
  <si>
    <t>Norwegian Polar Res Inst, N-9226 Tromso, Norway; Univ Stirling, Inst Aquaculture, Stirling FK9 4LA, Scotland; UNIS, Univ Courses Svalbard, N-9170 Longyearbyen, Svalbard, Norway; Polish Acad Sci, Inst Oceanol, PL-81712 Sopot, Poland</t>
  </si>
  <si>
    <t>Norwegian Polar Institute; University of Stirling; University Centre Svalbard (UNIS); Polish Academy of Sciences; Institute of Oceanology of the Polish Academy of Sciences</t>
  </si>
  <si>
    <t>Falk-Petersen, S (corresponding author), Norwegian Polar Res Inst, N-9226 Tromso, Norway.</t>
  </si>
  <si>
    <t>stig.falk-petersen@npolar.no</t>
  </si>
  <si>
    <t>Kwasniewski, Slawomir/0000-0003-3104-0761</t>
  </si>
  <si>
    <t>10.3354/meps227187</t>
  </si>
  <si>
    <t>WOS:000174545200016</t>
  </si>
  <si>
    <t>Starmans, A; Gutt, J</t>
  </si>
  <si>
    <t>Mega-epibenthic diversity: a polar comparison</t>
  </si>
  <si>
    <t>mega-epibenthos; Antarctic; Arctic; biodiversity; between-habitat diversity</t>
  </si>
  <si>
    <t>WEDDELL SEA; ANTARCTICA; GREENLAND; COMMUNITIES; DISTURBANCE; BIODIVERSITY; ASSOCIATIONS; HOLOTHURIANS; LAZAREV; SHELF</t>
  </si>
  <si>
    <t>The diversity of Arctic (off northeast Greenland) and Antarctic (Weddell and Bellingshausen Seas) megabenthic assemblages was compared using underwater video at depths between 30 and 550 m. The number of taxa found at each station was highest on the Weddell Sea shelf, which can be interpreted as being a result of the long isolation of the Antarctic fauna. However, the within-habitat (alpha) diversity of the Weddell Sea assemblages did not differ significantly from those off Greenland or in the Bellingshausen Sea in a comparable depth range. This is apparently due to the similarity in dominance patterns, independent of species numbers. The Bellingshausen Sea and Greenland Sea stations exhibited similar between-habitat (beta) diversity patterns, while the Weddell Sea stations showed a slightly higher beta-diversity and a pronounced higher overall diversity. This can be partly explained by the development of an epibiotic behaviour by several Antarctic suspension-feeding species. On the shallow shelf off Northeast Greenland the alpha-diversity was low, but the beta-diversity was relatively high compared to the other areas sampled. This may be due to the relatively high impact of physical and biological disturbances at shallower depths and the more stable environmental conditions in the deeper parts of all 3 investigation areas.</t>
  </si>
  <si>
    <t>Gutt, J (corresponding author), Alfred Wegener Inst Polar &amp; Marine Res, POB 120161, D-27568 Bremerhaven, Germany.</t>
  </si>
  <si>
    <t>jgutt@awi-bremerhaven.de</t>
  </si>
  <si>
    <t>Gutt, Julian/0000-0003-3773-9370; Starmans, Andreas/0000-0001-8829-0054</t>
  </si>
  <si>
    <t>10.3354/meps225045</t>
  </si>
  <si>
    <t>522CP</t>
  </si>
  <si>
    <t>WOS:000173878400004</t>
  </si>
  <si>
    <t>Tinivella, U; Accaino, F; Camerlenghi, A</t>
  </si>
  <si>
    <t>Gas hydrate and free gas distribution from inversion of seismic data on the South Shetland margin (Antarctica)</t>
  </si>
  <si>
    <t>MARINE GEOPHYSICAL RESEARCH</t>
  </si>
  <si>
    <t>BOTTOM-SIMULATING REFLECTOR; ELASTIC PROPERTIES; MARINE-SEDIMENTS; VELOCITY; ISLANDS</t>
  </si>
  <si>
    <t>Travel-time inversion is applied to seismic data to produce acoustic velocity images of the upper 800 m of the South Shetland margin (Antarctic Peninsula) in three different geological domains: (i) the continental shelf; (ii) the accretionary prism; (in) the trench. The velocity in the continental shelf sediments is remarkably higher, up to 1000 m/s at 600-700 m below seafloor, than that of the other two geological domains, due to the sediment overcompaction and erosion induced by the wax and waning of a grounded ice sheet. Pre-stack depth migration was applied to the data in order to improve the seismic image and to test the quality of the velocity fields. Where the Bottom Simulating Reflector (BSR) is present, positive and negative velocity anomalies were found with respect to a reference empirical velocity profile. The 2D-velocity section was translated in gas hydrate and free gas distribution by using a theoretical approach. The analysis revealed that the BSR is mainly related to the presence of free gas below it. The free gas is distributed in the area with variable concentration and thickness, while the gas hydrate is quite uniformly distributed across the margin.</t>
  </si>
  <si>
    <t>Ist Nazl Oceanog &amp; Geofis Sperimentale, Trieste, Italy</t>
  </si>
  <si>
    <t>Ist Nazl Oceanog &amp; Geofis Sperimentale, Trieste, Italy.</t>
  </si>
  <si>
    <t>utinivella@ogs.trieste.it</t>
  </si>
  <si>
    <t>Camerlenghi, Angelo/AAG-3852-2019; Camerlenghi, Angelo/C-8816-2011; Camerlenghi, Angelo/O-1593-2013; Tinivella, Umberta/AAF-3133-2020</t>
  </si>
  <si>
    <t>Camerlenghi, Angelo/0000-0002-8128-9533; Camerlenghi, Angelo/0000-0002-8128-9533; Tinivella, Umberta/0000-0002-1588-6452; Accaino, Flavio/0000-0003-3512-2457</t>
  </si>
  <si>
    <t>0025-3235</t>
  </si>
  <si>
    <t>1573-0581</t>
  </si>
  <si>
    <t>MAR GEOPHYS RES</t>
  </si>
  <si>
    <t>Mar. Geophys. Res.</t>
  </si>
  <si>
    <t>10.1023/A:1022407914072</t>
  </si>
  <si>
    <t>Geochemistry &amp; Geophysics; Oceanography</t>
  </si>
  <si>
    <t>646QD</t>
  </si>
  <si>
    <t>WOS:000181045000003</t>
  </si>
  <si>
    <t>Bohoyo, F; Galindo-Zaldívar, J; Maldonado, A; Schreider, AA; Suriñach, E</t>
  </si>
  <si>
    <t>Basin development subsequent to ridge-trench collision:: the Jane Basin, Antarctica</t>
  </si>
  <si>
    <t>MARINE GEOPHYSICAL RESEARCHES</t>
  </si>
  <si>
    <t>Antarctica; backarc basin; Jane Bank/Arc; Jane Basin; sea floor magnetic anomalies</t>
  </si>
  <si>
    <t>SOUTH ORKNEY MICROCONTINENT; WEDDELL SEA; MAGNETIC-ANOMALIES; SCOTIA RIDGE; TECTONIC EVOLUTION; POWELL BASIN; OCEAN-BASIN; PENINSULA; ARC; GRAVITY</t>
  </si>
  <si>
    <t>The Jane Arc and Basin system is located at the eastern offshore prolongation of the Antarctic Peninsula, along the southern margin of the South Orkney Microcontinent. Three magnetic anomaly profiles orthogonal to the main tectonic and bathymetric trends were recorded during the SCAN97 cruise by the Spanish R/V Hesperides. In our profiles, chron C6n (19.5 Ma) was identified as the youngest oceanic crust of the Northern Weddell Sea, whose northern spreading branch was totally subducted. The profiles from the Jane Basin allow us to date, for the first time, the age of the oceanic crust using linear sea floor magnetic anomalies. The spreading in the Jane Basin began around the age of the oldest magnetic anomaly at 17.6 Ma (chron C5Dn), and ended about 14.4 Ma (chron C5ADn). The distribution of the magnetic anomalies indicate that the mechanism responsible for the development of Jane Basin was the subduction of the Weddell Sea spreading centre below the SE margin of the South Orkney Microcontinent, suggesting a novel mechanism for an extreme case of backarc development.</t>
  </si>
  <si>
    <t>Univ Granada, Fac Ciencias, CSIC, Inst Andaluz Ciencias Tierra, Granada, Spain; Univ Granada, Dept Geodinam, E-18071 Granada, Spain; Russian Acad Sci, PP Shirshov Oceanol Inst, Moscow 117218, Russia; Univ Barcelona, Dept Geol Dinam &amp; Geofis, E-08028 Barcelona, Spain</t>
  </si>
  <si>
    <t>Consejo Superior de Investigaciones Cientificas (CSIC); CSIC - Instituto Andaluz de Ciencias de la Tierra (IACT); University of Granada; University of Granada; Russian Academy of Sciences; Shirshov Institute of Oceanology; University of Barcelona</t>
  </si>
  <si>
    <t>Bohoyo, F (corresponding author), Univ Granada, Fac Ciencias, CSIC, Inst Andaluz Ciencias Tierra, Granada, Spain.</t>
  </si>
  <si>
    <t>Bohoyo, Fernando/C-1062-2011; Galindo-Zaldivar, Jesus/K-3640-2012; Sazhneva, Alexandra/HPG-9897-2023; Bohoyo, Fernando/AAZ-5990-2021; Surinach, Emma/C-5896-2008</t>
  </si>
  <si>
    <t>Bohoyo, Fernando/0000-0002-1044-8816; Galindo-Zaldivar, Jesus/0000-0002-3493-2637; Bohoyo, Fernando/0000-0002-1044-8816;</t>
  </si>
  <si>
    <t>10.1023/B:MARI.0000018194.18098.0d</t>
  </si>
  <si>
    <t>780FP</t>
  </si>
  <si>
    <t>WOS:000189361900003</t>
  </si>
  <si>
    <t>Staniland, IJ</t>
  </si>
  <si>
    <t>Investigating the biases in the use of hard prey remains to identify diet composition using Antarctic fur seals (Arctocephalus gazella) in captive feeding trials</t>
  </si>
  <si>
    <t>fur seals; Arctocephalus gazella; fish; cephalopods; krill; digestion; diet; passage rates</t>
  </si>
  <si>
    <t>SOUTH GEORGIA; HARBOR SEAL; PHOCA-VITULINA; SCAT ANALYSIS; KRILL; DIGESTION; OTOLITHS; SAMPLES; EFFICIENCY; WINTER</t>
  </si>
  <si>
    <t>The analysis of pinniped scats has been used to quantify their diet, using prey remains to identify species and to estimate the numbers and sizes of prey consumed. There are, however, potential biases involved with scat analysis and, for this method to be used successfully, these biases need to be quantified. Thirty-six Antarctic fur seals (Arctocephalas gazella) were fed meals of exclusively either fish, squid, or krill and their scats were collected and analyzed. The major sources of error in the analysis of prey remains from scats were the differential erosion and passage rate of items in relation to their size. However, using simple correction Functions, such as those which model otolith erosion, it is possible to reduce these errors. Using plastic beads as dietary markers showed recovery rates were negatively related to their size. Larger squid beaks had lower recovery rates than smaller beaks, but there was no size-related bias in the recovery rates of krill carapaces. Only 33,70 of the squid beaks and 2776 of the otoliths originally fed were recovered from the scats. Recovery rates were greater for squid (77%) and fish (506) eye lenses and these structures gave a better estimate of numbers eaten. Differences found between experimentally derived and published regression equations (used to calculate prey sizes eaten from prey remains) highlights the need for regression equations based on local prey characteristics, if these are to be used with any success to describe the prey eaten.</t>
  </si>
  <si>
    <t>British Antarctic Survey, NERC, Nat Environm Res Council, Cambridge CB3 0ET, England</t>
  </si>
  <si>
    <t>Staniland, IJ (corresponding author), British Antarctic Survey, NERC, Nat Environm Res Council, Madingley Rd, Cambridge CB3 0ET, England.</t>
  </si>
  <si>
    <t>SOC MARINE MAMMALOGY</t>
  </si>
  <si>
    <t>1041 NEW HAMPSHIRE ST, LAWRENCE, KS 66044 USA</t>
  </si>
  <si>
    <t>10.1111/j.1748-7692.2002.tb01030.x</t>
  </si>
  <si>
    <t>512KL</t>
  </si>
  <si>
    <t>WOS:000173323500017</t>
  </si>
  <si>
    <t>Schlüter, N; Heygster, G</t>
  </si>
  <si>
    <t>Remote sensing of Antarctic clouds with infrared and passive microwave sensors</t>
  </si>
  <si>
    <t>METEOROLOGISCHE ZEITSCHRIFT</t>
  </si>
  <si>
    <t>COVER ANALYSIS; AVHRR DATA; SURFACE; CLASSIFICATION; RADIOMETER; SIGNATURE</t>
  </si>
  <si>
    <t>The importance of the polar regions and of clouds for the global climate is widely recognized. But clouds in polar regions are difficult to detect in infrared satellite images because the brightness temperatures of the surface and clouds are very similar. Sensors operating at visible wavelengths are less suited because they need daylight and can therefore not operate in the polar night. Three methods have been developed and tested to retrieve clouds over polar regions. Only data of infrared and passive microwave sensors of the DMSP satellites are used, the algorithms are therefore independent of the daylight and can also be applied in the polar night. The first approach classifies single infrared images of the sensor OLS over the Weddell Sea into 'cloud', 'sea ice' and 'open water'. First, the images are subdivided into segments. For each segment, four texture parameters are evaluated. The algorithm uses a Learning Vector Classification Neural Network. The trained network classifies test data from March 1992 with an accuracy of 88%. Inclusion of SSM/I sea ice information improves this result to 91%. The second, qualitative method detects nonstratiform clouds over the Antarctic continent using differences of nearly simultaneous infrared images collected by different DMSP spacecraft. If observed under different incidence angles, nonstratiform clouds show different infrared brightness temperatures. Validations with visible data and with data of the passive microwave sounder SSM/T2 also onboard the DMSP platforms show good agreement. Thirdly, a multi sensor approach is outlined including the first two methods and in addition the SSM/I-derived atmospheric parameters total water vapor, liquid water path (LWP) and the cloud signature, a recently proposed quantity for cloud characterization over sea ice. The cloud features high/middle/low, stratiform/nonstratiform. and thickness (expressed as LWP or cloud signature) can be used for cloud description. The method is demonstrated in a case study with data recorded on the R/V Polarstern in the Weddell Sea in April 1998.</t>
  </si>
  <si>
    <t>Univ Bremen, Inst Environm Phys, D-28334 Bremen, Germany</t>
  </si>
  <si>
    <t>Heygster, G (corresponding author), Univ Bremen, Inst Environm Phys, POB 330440, D-28334 Bremen, Germany.</t>
  </si>
  <si>
    <t>heygster@uni-bremen.de</t>
  </si>
  <si>
    <t>Heygster, Georg C./B-4928-2014</t>
  </si>
  <si>
    <t>Heygster, Georg/0000-0003-2232-7429</t>
  </si>
  <si>
    <t>0941-2948</t>
  </si>
  <si>
    <t>METEOROL Z</t>
  </si>
  <si>
    <t>Meteorol. Z.</t>
  </si>
  <si>
    <t>10.1127/0941-2948/2002/0011-0021</t>
  </si>
  <si>
    <t>541WB</t>
  </si>
  <si>
    <t>WOS:000175007500004</t>
  </si>
  <si>
    <t>Spichtinger, P; Gierens, K; Read, W</t>
  </si>
  <si>
    <t>The statistical distribution law of relative humidity in the global tropopause region</t>
  </si>
  <si>
    <t>TROPOSPHERIC WATER-VAPOR; ICE NUCLEATION; OZONE</t>
  </si>
  <si>
    <t>Cloud cleared Microwave Limb Sounder (MLS) data of upper tropospheric humidity are evaluated in order to determine the global statistics of relative humidity with respect to ice, RHi. The evaluation is performed for the 215 hPa level, in order to compare the results with earlier results from the Measurement of ozone by Airbus in-service aircraft (MOZAIC) project. In agreement with the earlier study we find that in the lower-most stratosphere the probability to get a certain value of relative humidity decreases exponentially with the relative humidity. In the Antarctic data class (data south of 55degreesS, mainly winter data) we also find an exponential distribution for RHi but with less steep slope. There is no change in the slope of the exponential distribution function at ice saturation. In the upper troposphere there are corresponding exponential distributions for RHi in ice-supersaturated regions and in subsaturated regions (for 20% &lt; RHi &lt; 100%), however with different slopes, viz. a steeper one in ice-supersaturated regions. In the cases of the tropospheric and antarctic data there is no indication of homogeneous ice nucleation at high humidities of RHi &gt; 150%, and the exponential distributions extend without change of slope up to 180-200%. Such extreme humidity events occur mostly in the tropics and at the edge of Antarctica, and could result from incidental lack of aerosol.</t>
  </si>
  <si>
    <t>Deutsch Zentrum Luft &amp; Raumfahrt, Inst Phys Atmosphare, D-82234 Wessling, Germany</t>
  </si>
  <si>
    <t>Helmholtz Association; German Aerospace Centre (DLR)</t>
  </si>
  <si>
    <t>Spichtinger, P (corresponding author), Deutsch Zentrum Luft &amp; Raumfahrt, Inst Phys Atmosphare, D-82234 Wessling, Germany.</t>
  </si>
  <si>
    <t>read, william/AAL-1895-2021; Spichtinger, Peter/F-5587-2014</t>
  </si>
  <si>
    <t>Spichtinger, Peter/0000-0003-4008-4977</t>
  </si>
  <si>
    <t>GEBRUDER BORNTRAEGER</t>
  </si>
  <si>
    <t>JOHANNESSTR 3A, D-70176 STUTTGART, GERMANY</t>
  </si>
  <si>
    <t>10.1127/0941-2948/2002/0011-0083</t>
  </si>
  <si>
    <t>564RZ</t>
  </si>
  <si>
    <t>WOS:000176328500001</t>
  </si>
  <si>
    <t>Baraniecki, CA; Aislabie, J; Foght, JM</t>
  </si>
  <si>
    <t>Characterization of Sphingomonas sp. Ant 17, an aromatic hydrocarbon-degrading bacterium isolated from Antarctic soil</t>
  </si>
  <si>
    <t>MICROBIAL ECOLOGY</t>
  </si>
  <si>
    <t>MICROBIAL-DEGRADATION; CRUDE-OIL; PHENANTHRENE; BIODEGRADATION; FLUORANTHENE; INDUCTION; TOLUENE; STRAIN</t>
  </si>
  <si>
    <t>Sphingomonas sp. strain Ant 17 was isolated from fuel-contaminated soil collected at Scott Base, Ross Island, Antarctica. We anticipated that Ant 17 would be a good model organism for studying cold climate bioremediation, and therefore determined its biodegradation capabilities and tolerance of potentially growth-limiting environmental conditions. Sphingomonas sp. Ant 17 degrades the aromatic fraction of several different crude oils, jet fuel, and diesel fuel at low temperatures and without nutrient amendment. It utilizes or transforms a broad range of pure aromatic substrates, including hydrocarbons, heterocycles, and aromatic acids and alcohols. Ant 17 grows at temperatures of 1degreesC to 35degreesC and mineralizes radiolabeled phenanthrene over a range of more than 24degreesC. This psychrotolerant isolate appears to utilize hydrocarbons more efficiently at low temperatures than would be predicted by mesophilic enzyme kinetics. The optimum pH for growth was 6.4 at 22degreesC, with extended lag phases observed in more alkaline media. However, there was less effect of pH on lag phase at lower temperatures. Ant 17 displayed greater tolerance to UV irradiation and freeze-thaw cycles than the hydrocarbon-degrading isolate Sphingomonas sp. WPO-1, which may reflect adaptation to its Antarctic soil environment. However, it was more sensitive than expected to desiccation and to low concentrations of NaCl and CaCl2. Ant 17 was phenotypically stable and lacked detectable plasmids, suggesting a chromosomal location for genes encoding aromatic degradation enzymes. Its broad aromatic substrate range and tolerance of low and fluctuating temperature and low nutrients make Sphingomonas sp. Ant 17 a valuable microbe for examining fuel spill bioremediation in cold soils.</t>
  </si>
  <si>
    <t>Univ Alberta, Dept Sci Biol, Edmonton, AB, Canada; Landcare Res, Hamilton, New Zealand</t>
  </si>
  <si>
    <t>University of Alberta; Landcare Research - New Zealand</t>
  </si>
  <si>
    <t>Univ Alberta, Dept Sci Biol, Edmonton, AB, Canada.</t>
  </si>
  <si>
    <t>julie.foght@ualberta.ca</t>
  </si>
  <si>
    <t>Foght, Julia/A-2638-2014</t>
  </si>
  <si>
    <t>Foght, Julia/0000-0002-8614-3875</t>
  </si>
  <si>
    <t>0095-3628</t>
  </si>
  <si>
    <t>1432-184X</t>
  </si>
  <si>
    <t>MICROB ECOL</t>
  </si>
  <si>
    <t>Microb. Ecol.</t>
  </si>
  <si>
    <t>10.1007/s00248-001-1019-3</t>
  </si>
  <si>
    <t>539XA</t>
  </si>
  <si>
    <t>WOS:000174896300005</t>
  </si>
  <si>
    <t>Foley, SF; Andronikov, AV; Melzer, S</t>
  </si>
  <si>
    <t>Petrology of ultramafic lamprophyres from the Beaver Lake area of Eastern Antarctica and their relation to the breakup of Gondwanaland</t>
  </si>
  <si>
    <t>MINERALOGY AND PETROLOGY</t>
  </si>
  <si>
    <t>SOUTH-AFRICA; AILLIK BAY; BULK ROCK; MANTLE; LABRADOR; ORIGIN; PETROGENESIS; KIMBERLITES; VOLCANICS; PROVINCE</t>
  </si>
  <si>
    <t>Mesozoic melilite-bearing ultramafic lamprophyres are developed as sill, dyke and plug-like intrusive bodies in the East Antarctic Beaver Lake area. They consist of varying amounts of olivine, melilite, phlogopite, nepheline, titanomagnetite and perovskite as major phases, accompanied by minor amounts of apatite, carbonate, spinel, glass and, rarely, monticellite. The rocks are mineralogically and geochemically broadly similar to olivine melilitites, differing in higher CO2 and modal phlogopite and carbonate contents. The ultramafic lamprophyres are MgO-rich (13.4-20.5 wt%) and SiO2-poor (32.8-37.2 wt%), indicative of a near-primary nature. Major and trace element features are consistent with minor fractionation of olivine and Cr-spinel from melts originating at depths of 130-140 km. Primary melts originated by melting of upper mantle peridotite which had been veined by phlogopite +carbonate+ clinopyroxene-bearing assemblages less than 200 Ma before eruption. The presence of the veins and their time of formation is required to explain high incompatible trace element contents and growth of Sr-87/Sr-86, leaving Nd-143/Nd-144 unaffected. The major element, compatible trace element, and most radiogenic isotope characteristics are derived from melting of the wall-rock peridotite. The depth of about 130 km is indicated by the presence of phlogopite rather than amphibole in the veins, by control of the REE pattern by residual garnet, by the high MgO content of the rocks, and by the expected intersection of the rift-flank geotherm with the solidus at this depth. The higher CO2 contents than are characteristic for olivine melilitites favoured the crystallization of melilite at crustal pressures, and suppressed the crystallization of clinopyroxene. The Beaver Lake ultramafic lamprophyres are a distal effect of the breakup of Gondwanaland, too distal to show a geochemical signature of the Kerguelen plume. Upward and outward movement of the asthenosphere-lithosphere boundary beneath the Lambert-Amery rift led first to the production of phlogopite- and carbonate-rich veins, and later to the generation of the ultramafic lamprophyres themselves.</t>
  </si>
  <si>
    <t>Univ Greifswald, Inst Geol Wissensch, D-17487 Greifswald, Germany; Univ Michigan, Dept Geol Sci, Ann Arbor, MI 48109 USA; Geoforschungszentrum Potsdam, Projektbereich 4 1, D-14473 Potsdam, Germany</t>
  </si>
  <si>
    <t>Universitat Greifswald; University of Michigan System; University of Michigan; Helmholtz Association; Helmholtz-Center Potsdam GFZ German Research Center for Geosciences</t>
  </si>
  <si>
    <t>Foley, SF (corresponding author), Univ Greifswald, Inst Geol Wissensch, FL Jahnstr 17A, D-17487 Greifswald, Germany.</t>
  </si>
  <si>
    <t>Foley, Stephen F/C-1923-2009; Foley, Stephen/I-1759-2013</t>
  </si>
  <si>
    <t>Foley, Stephen/0000-0001-7510-0223</t>
  </si>
  <si>
    <t>SPRINGER-VERLAG WIEN</t>
  </si>
  <si>
    <t>VIENNA</t>
  </si>
  <si>
    <t>SACHSENPLATZ 4-6, PO BOX 89, A-1201 VIENNA, AUSTRIA</t>
  </si>
  <si>
    <t>0930-0708</t>
  </si>
  <si>
    <t>MINER PETROL</t>
  </si>
  <si>
    <t>Mineral. Petrol.</t>
  </si>
  <si>
    <t>10.1007/s007100200011</t>
  </si>
  <si>
    <t>534PZ</t>
  </si>
  <si>
    <t>WOS:000174596400013</t>
  </si>
  <si>
    <t>Belair, SD; Kais, S; Francisco, JS</t>
  </si>
  <si>
    <t>Potential energy surface for the hydroperoxy and water (HO2•H2O) radical complex</t>
  </si>
  <si>
    <t>MOLECULAR PHYSICS</t>
  </si>
  <si>
    <t>SELF-REACTION; GAS-PHASE; TEMPERATURE-DEPENDENCE; GLOBAL OPTIMIZATION; HYDROGEN-CHLORIDE; ANTARCTIC OZONE; HO2; CHEMISTRY; KINETICS; MECHANISM</t>
  </si>
  <si>
    <t>A potential energy surface for the system of a hydroperoxy radical and a water molecule is presented. The surface was sampled using constrained density functional theory optimizations performed at the B3LYP level of theory using a 6-311++G(3df, 3pd) basis set. The data points were fitted to an analytical function based on a common 4-point model for water and a 5-point model for the peroxy radical. A weighted least-squares fit of the parameters was performed using the nearest neighbour pivot method.</t>
  </si>
  <si>
    <t>Purdue Univ, Dept Chem, W Lafayette, IN 47907 USA</t>
  </si>
  <si>
    <t>Purdue University System; Purdue University</t>
  </si>
  <si>
    <t>Kais, S (corresponding author), Purdue Univ, Dept Chem, W Lafayette, IN 47907 USA.</t>
  </si>
  <si>
    <t>Francisco, Joseph/JMC-1122-2023</t>
  </si>
  <si>
    <t>Kais, Sabre/0000-0003-0574-5346</t>
  </si>
  <si>
    <t>0026-8976</t>
  </si>
  <si>
    <t>MOL PHYS</t>
  </si>
  <si>
    <t>Mol. Phys.</t>
  </si>
  <si>
    <t>10.1080/00268970110086309</t>
  </si>
  <si>
    <t>510ZM</t>
  </si>
  <si>
    <t>WOS:000173237500001</t>
  </si>
  <si>
    <t>Tosi, S; Annovazzi, L; Tosi, I; Iadarola, P; Caretta, G</t>
  </si>
  <si>
    <t>Collagenase production in an Antarctic strain of Arthrobotrys tortor Jarowaja</t>
  </si>
  <si>
    <t>MYCOPATHOLOGIA</t>
  </si>
  <si>
    <t>collagenase production; nematophagous antarctic fungi</t>
  </si>
  <si>
    <t>NEMATOPHAGOUS FUNGI; CHROMATOGRAPHY; MICROBODIES; NEMATODES; PROTEASE</t>
  </si>
  <si>
    <t>This paper describes the results of a comparative screening between the nematophagous Antarctic fungus Arthrobotrys tortor and other species of that genus for the production of extracellular collagenases. The nematode species used in this study was Caenorhabditis elegans, feeding on Escherichia coli cultures. Determination of collagenase activity was made using insoluble collagen from bovine Achilles tendon and determining the amount of solubilized hydroxyproline produced. The results show that the total amount of collagenase produced by the Antarctic strain of A. tortor was about threefold higher than that observed for the other species. In the Antarctic strain, collagenase was shown to be a constitutive enzyme.</t>
  </si>
  <si>
    <t>Univ Pavia, Dipartimento Ecol Terr &amp; Ambienti Terr, Sez Micol, I-27100 Pavia, Italy; Univ Pavia, Dept Biochim, I-27100 Pavia, Italy</t>
  </si>
  <si>
    <t>University of Pavia; University of Pavia</t>
  </si>
  <si>
    <t>Univ Pavia, Dipartimento Ecol Terr &amp; Ambienti Terr, Sez Micol, Via S Epifanio 14, I-27100 Pavia, Italy.</t>
  </si>
  <si>
    <t>0301-486X</t>
  </si>
  <si>
    <t>1573-0832</t>
  </si>
  <si>
    <t>Mycopathologia</t>
  </si>
  <si>
    <t>10.1023/A:1014511105803</t>
  </si>
  <si>
    <t>Mycology</t>
  </si>
  <si>
    <t>530KC</t>
  </si>
  <si>
    <t>WOS:000174356000010</t>
  </si>
  <si>
    <t>Lagun, VE; Jagovkina, SV; Karol, IL</t>
  </si>
  <si>
    <t>VanHam, J; Baede, APM; Guicherit, R; WilliamsJacobse, JGF</t>
  </si>
  <si>
    <t>Western Siberia natural methane emission assessment based on experimental data analysis and 3D regional modeling</t>
  </si>
  <si>
    <t>NON-C02 GREENHOUSE GASES: SCIENTIFIC UNDERSTANDING, CONTROL OPTIONS AND POLICY ASPECTS</t>
  </si>
  <si>
    <t>3rd International Symposium on Non-CO2 Greenhouse Gases</t>
  </si>
  <si>
    <t>JAN 21-23, 2002</t>
  </si>
  <si>
    <t>MAASTRICHT, NETHERLANDS</t>
  </si>
  <si>
    <t>natural methane emission; wetland; regional modeling</t>
  </si>
  <si>
    <t>The West Siberia region is considered as a large source of natural methane during summer season due to vast territories occupied by wetlands. At the same time there are very few measurements of methane fluxes carried out in separate points of this large region. These measurements cannot represent the total natural methane flux from West Siberia. To solve this problem the 3D regional photochemical transport model has been applied. The model results are verified by direct measurements of methane concentrations and calculated on the base of empirical relationships for methane flux field in West Siberian region. Integral input of summer surface methane flux from West Siberian wetlands to Global methane budget is estimated.</t>
  </si>
  <si>
    <t>Arctic &amp; Antarctic Res Inst, St Petersburg, Russia</t>
  </si>
  <si>
    <t>Lagun, VE (corresponding author), Arctic &amp; Antarctic Res Inst, St Petersburg, Russia.</t>
  </si>
  <si>
    <t>lagun@aari.nw.ru; svetlana@main.mgo.rssi.ru</t>
  </si>
  <si>
    <t>MILLPRESS SCIENCE PUBLISHERS</t>
  </si>
  <si>
    <t>ROTTERDAM</t>
  </si>
  <si>
    <t>PO BOX 84118, 3009 CC ROTTERDAM, NETHERLANDS</t>
  </si>
  <si>
    <t>90-77017-70-4</t>
  </si>
  <si>
    <t>BW43L</t>
  </si>
  <si>
    <t>WOS:000181977700027</t>
  </si>
  <si>
    <t>Ochyra, R; Bednarek-Ochyra, H; Smith, RIL</t>
  </si>
  <si>
    <t>New and rare moss species from subantarctic South Georgia</t>
  </si>
  <si>
    <t>NOVA HEDWIGIA</t>
  </si>
  <si>
    <t>bryophyta; Musci; bryogeography; taxonomy; South Georgia; subantarctica</t>
  </si>
  <si>
    <t>BRYOPSIDA; MUSCI; ISLANDS; FLORA</t>
  </si>
  <si>
    <t>Forty-one species of moss are reported from the subantaretic island of South Georgia. Twenty-two of these are recorded for the first time from the island, namely Andreaea obovata Thed. (first record from the austral region), Bryoerythrophyllum recurvirostrum (Hedw.) P.C. Chen, Bryum orbiculatifolium Cardot &amp; Broth., B. subrotundifolium A. Jaeger, Campylopus introflexus (Hedw.) Brid., Cinclidium stygium Sw., Dicranoweisia mackayi (Broth. &amp; Dixon) Broth., Ditrichum conicum (Mont.) Mitt., D. heteromallum (Hedw.) E. Britton, Drepanocladus longifolius (Wilson ex Mitt.) Broth. ex Paris, Funaria hygrometrica Hedw., Gymnostommum aeruginosum Sm., Isopterygiopsis pulchella (Hedw.) Z. Iwats., Leptobryum pyriforme (Hedw.) Wilson, Meesia uliginosa Hedw., Orthodonthium lineare Schwagr., Schistidium antaretici (Cardot) L. Savicz &amp; Smirnova, Tayloria dubyi Broth., Tortella fragilis (Hook. &amp; Wilson) Limpr., Trematodon geniculatus Matteri, Warnstorfia exannulata (Schimp.) Loeske and W. fontinaliopsis (Mull. fiat.) Ochyra. The moss flora of South Georgia is currently estimated to comprise about 115 species.</t>
  </si>
  <si>
    <t>Polish Acad Sci, Lab Bryol, Inst Bot, PL-31512 Krakow, Poland; British Antarctic Survey, NERC, Cambridge CB3 0ET, England</t>
  </si>
  <si>
    <t>Polish Academy of Sciences; UK Research &amp; Innovation (UKRI); Natural Environment Research Council (NERC); NERC British Antarctic Survey</t>
  </si>
  <si>
    <t>Polish Acad Sci, Lab Bryol, Inst Bot, Ul Lubicz 46, PL-31512 Krakow, Poland.</t>
  </si>
  <si>
    <t>Bednarek-Ochyra, Halina/K-7507-2012</t>
  </si>
  <si>
    <t>Bednarek-Ochyra, Halina/0000-0002-6994-8313; Ochyra, Ryszard/0000-0002-2541-0722</t>
  </si>
  <si>
    <t>0029-5035</t>
  </si>
  <si>
    <t>2363-7188</t>
  </si>
  <si>
    <t>Nova Hedwigia</t>
  </si>
  <si>
    <t>10.1127/0029-5035/2002/0074-0121</t>
  </si>
  <si>
    <t>529LU</t>
  </si>
  <si>
    <t>WOS:000174301600006</t>
  </si>
  <si>
    <t>Piacsek, S; Potts, M; Castellana, L; Purini, R</t>
  </si>
  <si>
    <t>Shelf slope convection: A note for Antarctic regions</t>
  </si>
  <si>
    <t>NUOVO CIMENTO DELLA SOCIETA ITALIANA DI FISICA C-GEOPHYSICS AND SPACE PHYSICS</t>
  </si>
  <si>
    <t>CONTINENTAL-SHELF; WATER FORMATION; SEA-ICE; DEEP CONVECTION; GREENLAND SEA; OCEAN; MODEL; LEADS; POLYNYAS; SHALLOW</t>
  </si>
  <si>
    <t>Some basic processes associated with buoyancy-driven convection in the presence of coastal upwelling currents were investigated in a 2.5D framework near the Adelie Coast of Antarctica. The surface buoyancy forcing was derived front cooling and brine deposition due to ice formation. and was specified over a persistent off-shore polynya maintained by the off-shore katabatic winds. Rotational effects and the formation of a turbulent surface mixed layer were included in the model. The representation of topography was done via the VBM (virtual Boundary Method) that utilizes equivalent body forces in the momentum equation. thus enabling the use of very efficient Poisson solvers for the pressure, based on FFTs. The simulations were carried out near longitude 143E, between latitude 68S and 65S, over the near-shore shelf region. The hydrography was initialized with the 1/4 deg Levitus annual climatology. Two cases of idealized meteorological forcing were considered: constant winds blowing along-shore and off-shore. The resultant motions in each case were characterized by interaction between the wind-driven upwelling motions and the downward moving dense convection plumes. but with marked differences: a) the formation of a strong front under the open sea edge of the polynya only by off-shore winds; b) the periodic suppression of the surface off-shore currents and of the coastal upwelling only by the along-shore winds; c) the formation of deep upwelling currents along the slope between 400 and 200 meters only for along-shore winds, and d) the rapid filling Of the Surface layers (depths &lt; 100 m) with high salinities tinder the whole polynya by the off-shore forcing. vs. the delayed filling of a narrow region near the downwelling plume with intermediate salinity values by the along-shore forcing.</t>
  </si>
  <si>
    <t>Naval Res Lab, Stennis Space Ctr, MS 39529 USA</t>
  </si>
  <si>
    <t>United States Department of Defense; United States Navy; Naval Research Laboratory</t>
  </si>
  <si>
    <t>Piacsek, S (corresponding author), Naval Res Lab, Stennis Space Ctr, MS 39529 USA.</t>
  </si>
  <si>
    <t>1124-1896</t>
  </si>
  <si>
    <t>NUOVO CIMENTO C</t>
  </si>
  <si>
    <t>Nuovo Cimento Soc. Ital. Fis. C-Geophys. Space Phys.</t>
  </si>
  <si>
    <t>564HD</t>
  </si>
  <si>
    <t>WOS:000176308200007</t>
  </si>
  <si>
    <t>Murray, RJ; Reason, CJC</t>
  </si>
  <si>
    <t>Murray, Ross J.; Reason, C. J. C.</t>
  </si>
  <si>
    <t>Fourier filtering and coefficient tapering at the North Pole in OGCMs</t>
  </si>
  <si>
    <t>OCEAN MODELLING</t>
  </si>
  <si>
    <t>Ocean modelling; Fourier filtering</t>
  </si>
  <si>
    <t>This article considers how some of the measures used to overcome numerical problems near the North Pole affect the ocean solution and computational time step limits. The distortion of the flow and tracer contours produced by a polar island is obviated by implementing a prognostic calculation for a composite polar grid cell, as has been done at NCAR. The severe limitation on time steps caused by small zonal grid spacing near the pole is usually overcome by Fourier filtering, sometimes supplemented by the downward tapering of mixing coefficients as the pole is approached; however, filtering can be expensive, and both measures adversely affect the solution. Fourier filtering produces noise, which manifests itself in such effects as spurious static instabilities and vertical motions; this noise can be due to the separate and different filtering of internal and external momentum modes and tracers, differences in the truncation at different latitudes, and differences in the lengths of filtering rows, horizontally and vertically. Tapering has the effect of concentrating tracer gradients and velocities near the pole, resulting in some deformation of fields. In equilibrium ocean models, these effects are static and localised in the polar region, but with time-varying forcings or coupling to atmosphere and sea ice it is possible that they may seriously affect the global solution. The marginal stability curve in momentum and tracer time-step space should have asymptotes defined by diffusive, viscous, and internal gravity wave stability criteria; at large tracer time steps, tracer advection stability may become limiting. Tests with various time-step combinations and a flat-bottomed Arctic Ocean have confirmed the applicability of these limits and the predicted effects of filtering and tapering on them. They have also shown that the need for tapering is obviated by substituting a truncation which maintains a constant time step limit rather than a constant minimum wave number over the filtering range. (C) 2001 Elsevier Science Ltd. All rights reserved.</t>
  </si>
  <si>
    <t>[Murray, Ross J.; Reason, C. J. C.] Univ Melbourne, Sch Earth Sci, Parkville, Vic 3010, Australia; [Reason, C. J. C.] Univ Cape Town, Dept EGS, ZA-7925 Cape Town, South Africa; [Reason, C. J. C.] Univ Cape Town, Dept Oceanog, ZA-7925 Cape Town, South Africa</t>
  </si>
  <si>
    <t>University of Melbourne; University of Cape Town; University of Cape Town</t>
  </si>
  <si>
    <t>Murray, RJ (corresponding author), Univ Melbourne, Sch Earth Sci, Parkville, Vic 3010, Australia.</t>
  </si>
  <si>
    <t>rjmury@earthsci.unimelb.edu.au; cjr@egs.uct.ac.za</t>
  </si>
  <si>
    <t>Antarctic Science Advisory Committee; Australian Antartic Division of the Department of the Environment, Sport and Territories</t>
  </si>
  <si>
    <t>Funding from the Antarctic Science Advisory Committee administered by the Australian Antartic Division of the Department of the Environment, Sport and Territories is greatefully acknowledge. The authors wish to thank Dr. A.C. Hirst, of the Division of Atmospheric Research, Aspendale, Victoria, Australia for comments on the draft.</t>
  </si>
  <si>
    <t>1463-5003</t>
  </si>
  <si>
    <t>1463-5011</t>
  </si>
  <si>
    <t>OCEAN MODEL</t>
  </si>
  <si>
    <t>Ocean Model.</t>
  </si>
  <si>
    <t>PII S1463-5003(01)00009-9</t>
  </si>
  <si>
    <t>10.1016/S1463-5003(01)00009-9</t>
  </si>
  <si>
    <t>V05FJ</t>
  </si>
  <si>
    <t>WOS:000207111600001</t>
  </si>
  <si>
    <t>Mélia, DS</t>
  </si>
  <si>
    <t>Melia, D. Salas</t>
  </si>
  <si>
    <t>A global coupled sea ice-ocean model</t>
  </si>
  <si>
    <t>Sea ice-ocean model; Global simulations; Redistribution; Multi-level</t>
  </si>
  <si>
    <t>A new sea ice model, GELATO, was developed at Centre National de Recherches Meteorologiques (CNRM) and coupled with OPA global ocean model. The sea ice model includes elastic-viscous-plastic rheology, redistribution of ice floes of different thicknesses, and it also takes into account leads, snow cover and snow ice formation. Climatologies of atmospheric surface parameters are used to perform a 20-year global ocean-sea ice simulation, in order to compute surface heat fluxes from diagnosed sea ice or ocean surface temperature. A surface salinity restoring term is applied only to ocean grid cells with no sea ice to avoid significant surface salinity drifts, but no correction of sea surface temperature is introduced. In the Arctic the use of an ocean model substantially improves the representation of sea ice, and particularly of the ice edge in all seasons, as advection of heat and salt can be more accurately accounted for than in the case of, for example, a sea ice-ocean mixed layer model. In contrast, in the Antarctic, a region where ocean convective processes bear a much stronger influence in shaping sea ice characteristics, a better representation of convection and probably of sea ice (for example, of frazil sea ice, brine rejection) would be needed to improve the simulation of the annual cycle of the sea ice cover. The effect of the inclusion of several ice categories in the sea ice model is assessed by running a sensitivity experiment in which only one category of sea ice is considered, along with leads. In the Arctic, such an experiment clearly shows that a multicategory sea ice model better captures the position of the sea ice edge and yields much more realistic sea ice concentrations in most of the region, which is in agreement with results from Bitz et al. [J. Geophys. Res. 106 (C2) (2001) 2441-2463]. (C) 2002 Published by Elsevier Science Ltd.</t>
  </si>
  <si>
    <t>Meteo France, Ctr Natl Rech Meterol, F-31057 Toulouse, France</t>
  </si>
  <si>
    <t>Meteo France</t>
  </si>
  <si>
    <t>Mélia, DS (corresponding author), Meteo France, Ctr Natl Rech Meterol, 42 Ave Gaspard Coriolis, F-31057 Toulouse, France.</t>
  </si>
  <si>
    <t>david.salas@meteo.fr</t>
  </si>
  <si>
    <t>PII S1463-5003(01)00015-4</t>
  </si>
  <si>
    <t>V05FK</t>
  </si>
  <si>
    <t>WOS:000207111700003</t>
  </si>
  <si>
    <t>Woodworth, PL; Le Provost, C; Rickards, LJ; Mitchum, GT; Merrifield, M</t>
  </si>
  <si>
    <t>Gibson, RN; Barnes, M; Atkinson, RJA</t>
  </si>
  <si>
    <t>A review of sea-level research from tide gauges during the world ocean circulation experiment</t>
  </si>
  <si>
    <t>OCEANOGRAPHY AND MARINE BIOLOGY, VOL 40</t>
  </si>
  <si>
    <t>Oceanography and Marine Biology</t>
  </si>
  <si>
    <t>ANTARCTIC CIRCUMPOLAR CURRENT; INVERSE BAROMETER MODEL; GULF-STREAM TRANSPORT; MEDITERRANEAN-SEA; GLOBAL OCEAN; TEMPORAL VARIABILITY; DEEP-OCEAN; NORTH-SEA; INDONESIAN THROUGHFLOW; SURFACE MANIFESTATION</t>
  </si>
  <si>
    <t>This paper reviews the developments in tide gauge networks during the World Ocean Circulation Experiment (WOCE) and provides an overview of the resulting contributions to the scientific aims of the programme. The 1990s saw the rapid development of the satellite radar altimetry technique (results from which have been reviewed elsewhere), which played the major role in the measurement of ocean circulation variability during WOCE. This paper describes the complementary roles of altimetric and conventional in situ methods of sea-level recording by gauges which have evolved during the programme. In addition, it highlights those areas of research in which tide gauges (or bottom pressure recorders) have played a particularly important role. A final section looks to the future age of altimetry wherein the sea level and ocean circulation community must strive to construct an efficient, unified, global tide gauge-plus-altimetry system for application to a range of scientific objectives.</t>
  </si>
  <si>
    <t>Bidston Observ, Proudman Oceanog Lab, Birkenhead CH43 7RA, Merseyside, England; GRGS Observ, Lab Oceanog &amp; Geophys Spatiale, F-31400 Toulouse, France; British Oceanog Data Ctr, Proudman Oceanog Lab, Birkenhead CH43 7RA, Merseyside, England; Univ S Florida, Dept Marine Sci, St Petersburg, FL 33701 USA; Univ Hawaii, Sea Level Ctr, Dept Oceanog, Honolulu, HI 96822 USA</t>
  </si>
  <si>
    <t>NERC National Oceanography Centre; Universite de Toulouse; Universite Toulouse III - Paul Sabatier; Centre National de la Recherche Scientifique (CNRS); Institut de Recherche pour le Developpement (IRD); Laboratoire d'Etudes en Geophysique et oceanographie spatiales; NERC National Oceanography Centre; State University System of Florida; University of South Florida; University of Hawaii System</t>
  </si>
  <si>
    <t>Bidston Observ, Proudman Oceanog Lab, Birkenhead CH43 7RA, Merseyside, England.</t>
  </si>
  <si>
    <t>plw@pol.ac.uk</t>
  </si>
  <si>
    <t>11 NEW FETTER LANE, LONDON EC4P 4EE, ENGLAND</t>
  </si>
  <si>
    <t>0078-3218</t>
  </si>
  <si>
    <t>0-415-25462-0</t>
  </si>
  <si>
    <t>OCEANOGR MAR BIOL</t>
  </si>
  <si>
    <t>Oceanogr. Mar. Biol.</t>
  </si>
  <si>
    <t>BV71S</t>
  </si>
  <si>
    <t>WOS:000179883800001</t>
  </si>
  <si>
    <t>Biogeochemistry of Antarctic sea ice</t>
  </si>
  <si>
    <t>DISSOLVED ORGANIC-MATTER; BAY ROSS SEA; INORGANIC NITROGEN UPTAKE; HIGH O-2 CONCENTRATIONS; WEDDELL SEA; PACK-ICE; PLATELET ICE; BIOCHEMICAL-COMPOSITION; MCMURDO-SOUND; NUTRIENT CONCENTRATIONS</t>
  </si>
  <si>
    <t>Antarctic sea ice at its maximum extent in winter covers 40% of the Southern Ocean in a frozen layer, on average, 1 m thick. Sea ice is not solid, rather it is an ice crystal matrix permeated by a labyrinth of brine filled channels and pores in which life thrives. Organisms are constrained by a set of physicochemical factors quite unlike anything they encounter in the plankton from where they are recruited. Because sea ice is increasingly viewed as a suitable proxy for life in previous periods of the Earth's history, and even for astrobiology, it is pertinent that the physicochemical constraints acting upon sea-ice biology are better understood. The, largely microbial, network that develops in the ice itself imparts a unique chemistry that influences the nature and chemical composition of biogenic material released from the ice. This chemistry can result in the export of material to the sediments with distinctive chemical signatures that are useful tools for reconstructing past sea-ice cover of the oceans. This review synthesises information on inorganic nutrient, dissolved organic matter and dissolved gases from a variety of Antarctic ice habitats.</t>
  </si>
  <si>
    <t>Univ Wales, Sch Ocean Sci, Menai Bridge LL59 5EY, Gwynedd, Wales; Alfred Wegener Inst Polar &amp; Marine Res, D-27570 Bremerhaven, Germany</t>
  </si>
  <si>
    <t>Univ Wales, Sch Ocean Sci, Menai Bridge LL59 5EY, Gwynedd, Wales.</t>
  </si>
  <si>
    <t>d.thomas@bangor.ac.uk</t>
  </si>
  <si>
    <t>Dieckmann, Gerhard S/B-4307-2010; Thomas, David Neville/B-1448-2010</t>
  </si>
  <si>
    <t>Thomas, David Neville/0000-0001-8832-5907</t>
  </si>
  <si>
    <t>WOS:000179883800003</t>
  </si>
  <si>
    <t>Sokov, AV; Morozov, EG; Shapovalov, SM; Borodkin, SO; Demidova, TA</t>
  </si>
  <si>
    <t>Water structure in the equatorial Atlantic on the basis of the year 2000 transatlantic section</t>
  </si>
  <si>
    <t>MASSES; OCEAN; FLOW</t>
  </si>
  <si>
    <t>The distribution of water masses in the Equatorial Atlantic is analyzed on the basis of the data of a transatlantic hydrographic section made in July 2000, approximately along 5degrees30' N, during cruise 8 of R/V Akademik Ioffe. Significant thickening and upwelling of the Antarctic Intermediate Water is observed in the western part of the section. A cooling of the Antarctic Bottom Water as compared to the measurements made within the International Geophysical Year (1957) and WOCE (1993) programs was found.</t>
  </si>
  <si>
    <t>Russian Acad Sci, PP Shirshov Oceanol Inst, Moscow, Russia</t>
  </si>
  <si>
    <t>Sokov, AV (corresponding author), Russian Acad Sci, PP Shirshov Oceanol Inst, Moscow, Russia.</t>
  </si>
  <si>
    <t>Morozov, Eugene G/L-3023-2018</t>
  </si>
  <si>
    <t>Morozov, Eugene/0000-0002-0251-3454</t>
  </si>
  <si>
    <t>525RT</t>
  </si>
  <si>
    <t>WOS:000174085300001</t>
  </si>
  <si>
    <t>Voronina, NM</t>
  </si>
  <si>
    <t>Features of the Antarctic mesozooplankton within waters of different types of the pacific sector</t>
  </si>
  <si>
    <t>CALANOIDES-ACUTUS; WEDDELL SEA; LIFE-CYCLE; PLANKTONIC COMMUNITY; RHINCALANUS-GIGAS; ATLANTIC SECTOR; SOUTHERN-OCEAN; COPEPODA; STRATEGIES; FEBRUARY</t>
  </si>
  <si>
    <t>Comparison studies of the mesozooplankton in Antarctic waters of different types and modifications related to different circulation types, which were started under the leadership of Makarov [11, 12, 17], were continued. Based on the materials collected during cruise 6 of RN Akademik Ioffe which operated in the Pacific Sector of the Antarctic during the period from February to March 1992, the quantitative distribution and the age structure of abundant populations of three species of copepods and one species of euphausiids were analyzed with respect to the hydrophysical data [15]. Within the waters of the single Antarctic structure, the authors of this study recognize two types (modifications) of waters, namely, low-latitude and high-latitude waters, and within the second type of waters, three subtypes were recognized-the mixed, properly high-latitude, and shelf waters [15]. The distribution of the population abundance was considered concurrently with the data on their age structure. It was found that not only the water types but also the subtypes can differ in the quantitative ratio of the abundant populations and the total plankton abundance. The abundance of Rhincalanus gigas was related to the waters of the low-latitude modification. The maximum abundance of Calanus proponquus was observed within the mixed waters. The low- and properly high-latitude waters had poor abundance levels. Thysanoessa macrura was distributed independently of the water type. The Calanoides acutus distribution was also similar; however, in this case, the differences between the low-latitude and mixed waters are probably caused by the seasonal changes. All these distinctions between the quantitative characteristics were observed even within the same latitudinal zone. In contrast to [11], the type of the plankton seasonal succession was not uniquely related to a certain type of waters. The phenological boundary for plankton between individual water modifications was not always clear. The consideration of plankton of different water modifications as independent communities is disputed. The character of a zooplankton community was shown to be dependent both on the water type and on the seasonal differences related to the latitudinal location of the area.</t>
  </si>
  <si>
    <t>Voronina, NM (corresponding author), Russian Acad Sci, PP Shirshov Oceanol Inst, Moscow, Russia.</t>
  </si>
  <si>
    <t>WOS:000174085300009</t>
  </si>
  <si>
    <t>Ivanova, EV</t>
  </si>
  <si>
    <t>Initiation and evolution history of monsoon circulation in the Indian Ocean during the Neogene-Quaternary</t>
  </si>
  <si>
    <t>EAST-ASIAN MONSOON; ARABIAN SEA; PLANKTONIC-FORAMINIFERA; NORTH-AFRICA; KYR RECORD; CLIMATE; EVENTS; YR; PALEOPRODUCTIVITY; FLUCTUATIONS</t>
  </si>
  <si>
    <t>Neogene-Quaternary series of micropaleontological, lithological, and geochemical indicators of monsoons and related upwellings in the Indian Ocean are assessed. It is shown that the initiation and evolution of the monsoon circulation were determined by the interaction of geodynamical and climatic events (such as the closure of the Tethys Ocean, the uplift of the Himalayas and Tibet, the glaciation of the Antarctic and the Northern Hemisphere, the closure of the Panama and Indonesian passages, glacial-interglacial cycles), as well as by the variations in the orbital parameters of the earth. The correlation of the short-term episodes of strengthened and weakened monsoon circulation with the short-term events in the North Atlantic, Greenland, Antarctic, Eastern Asia, and other regions suggests teleconnections (a rapid transfer of climatic signals) between high and low latitudes.</t>
  </si>
  <si>
    <t>Ivanova, EV (corresponding author), Russian Acad Sci, PP Shirshov Oceanol Inst, Moscow, Russia.</t>
  </si>
  <si>
    <t>WOS:000174085300017</t>
  </si>
  <si>
    <t>Bergstrom, DM; Stewart, GR; Selkirk, PM; Schmidt, S</t>
  </si>
  <si>
    <t>15N natural abundance of fossil peat reflects the influence of animal-derived nitrogen on vegetation</t>
  </si>
  <si>
    <t>N-15 natural abundance; peat; subantarctic; Macquarie Island; Holocene</t>
  </si>
  <si>
    <t>MACQUARIE-ISLAND; ECOSYSTEM; ISOTOPES; ECOLOGY; AVAILABILITY; CLIMATE; CARBON; SOILS</t>
  </si>
  <si>
    <t>delta(15)N signatures of fossil peat were used to interpret past ecosystem processes on tectonically active subantarctic Macquarie Island. By comparing past vegetation reconstructed from the fossil record with present-day vegetation analogues, our evidence strongly suggests that changes in the delta(15)N signatures of fossil peat at this location reflect mainly past changes in the proportion of plant nitrogen derived from animal sources. Associated with uplift above sea level over the past 8,500 years, fossil records in two peat deposits on the island chronicle a change from coastal vegetation with fur and elephant seal disturbance to the existing inland herbfield. Coupled with this change are synchronous changes in the delta(15)N signatures of peat layers. At two sites N-15-enriched peat delta(15)N signatures of up to +17parts per thousand were associated with a high abundance of pollen of the nitrophile Callitriche antarctica (Callitrichaceae). At one site fossil seal hair was also associated with enriched peat delta(15)N. Less N-15 enriched delta(15)N signatures (e.g. -1.9parts per thousand to +3.9parts per thousand) were measured in peat layers which lacked animal associated C. antarctica and Acaena spp. Interpretation of a third peat profile indicates continual occupation of a ridge site by burrowing petrels for most of the Holocene. We suggest that N-15 signatures of fossil peat remained relatively stable with time once deposited, providing a significant new tool for interpreting the palaeoecology.</t>
  </si>
  <si>
    <t>Univ Western Australia, Fac Sci, Nedlands, WA 6907, Australia; Macquarie Univ, Dept Biol Sci, N Ryde, NSW 2109, Australia; Univ Queensland, Dept Bot, St Lucia, Qld 4072, Australia</t>
  </si>
  <si>
    <t>University of Western Australia; Macquarie University; University of Queensland</t>
  </si>
  <si>
    <t>Schmidt, Susanne/B-2780-2009; Bergstrom, Dana/AAC-2837-2022</t>
  </si>
  <si>
    <t>Schmidt, Susanne/0000-0001-8369-1238; Bergstrom, Dana/0000-0001-8484-8954</t>
  </si>
  <si>
    <t>10.1007/s004420100807</t>
  </si>
  <si>
    <t>522TB</t>
  </si>
  <si>
    <t>WOS:000173912100018</t>
  </si>
  <si>
    <t>Panagiotopoulos, C; Sempéré, R; Obernosterer, I; Striby, L; Goutx, M; Van Wambeke, F; Gautier, S; Lafont, R</t>
  </si>
  <si>
    <t>Bacterial degradation of large particles in the southern Indian Ocean using in vitro incubation experiments</t>
  </si>
  <si>
    <t>ORGANIC GEOCHEMISTRY</t>
  </si>
  <si>
    <t>PARTICULATE ORGANIC-MATTER; NORTHWESTERN MEDITERRANEAN SEA; EQUATORIAL PACIFIC; MARINE PARTICLES; AMINO-ACIDS; SIMULATED SEDIMENTATION; AMPEROMETRIC DETECTION; LIQUID-CHROMATOGRAPHY; CHEMICAL-COMPOSITION; PHYTOPLANKTON DECAY</t>
  </si>
  <si>
    <t>Large particles (&gt; 60 mum) were collected at 30 and 200 m water depth by in situ pumps in the southern Indian Ocean in January-February 1999. The samples were incubated under laboratory conditions with their own bacterial assemblages for 7-17 days in batches under oxic conditions in the dark. Particulate and dissolved fractions of organic carbon, amino acids, sugars and lipids, as well as bacterial production were quantified over time. During the experiments, 32-38% and 43-50% of total organic carbon (TOC) was mineralized and considered as labile material in the Polar Front Zone (PFZ) and Sub-Antarctic region (SAr), respectively. This material was utilized with a bacterial growth efficiency (BGE) of 10-21% (PFZ) and 12-17% (SAr), with the lower values being observed for surface samples (30 m). These results imply that most (79-90%) of the incorporated carbon from large particles was respired as CO2. The study revealed that the initial relative abundance of the three main classes of organic matter, including sugars, amino acids and lipids, varied greatly between SAr and PFZ, with sugars being more abundant in SAr (15-19% of TOC) than in PFZ (8-9% of TOC). In the PFZ, mineralization rates of amino acids and lipids were two to ten fold higher than those of sugars, whereas the opposite was observed in SAr biodegradation experiments. Moreover, our results suggested that organic carbon is mineralized by bacteria more rapidly in the euphotic zone of the SAr than the PFZ. The differences observed between the two sites may be related to the more rapid dissolution of silica as well as the higher temperatures and bacterial production encountered in SAr waters. The bacterial processes apparently affect the composition of material sinking to the ocean interior. (C) 2002 Elsevier Science Ltd. All rights reserved.</t>
  </si>
  <si>
    <t>Univ Mediterranee, Ctr Oceanol Marseille, CNRS, INSU,UMR6117,Lab Microbiol Marine, F-13288 Marseille 9, France; Netherlands Inst Sea Res, NIOZ, Dept Biol Oceanog, NL-1790 AB Den Burg, Texel, Netherlands</t>
  </si>
  <si>
    <t>Centre National de la Recherche Scientifique (CNRS); CNRS - National Institute for Earth Sciences &amp; Astronomy (INSU); Aix-Marseille Universite; Utrecht University; Royal Netherlands Institute for Sea Research (NIOZ)</t>
  </si>
  <si>
    <t>Sempéré, R (corresponding author), Univ Mediterranee, Ctr Oceanol Marseille, CNRS, INSU,UMR6117,Lab Microbiol Marine, Campus Luminy,Case 907, F-13288 Marseille 9, France.</t>
  </si>
  <si>
    <t>Sempere, Richard/ABE-9977-2020; Panagiotopoulos, Christos/AAC-1358-2021; Obernosterer, Ingrid/A-5434-2011</t>
  </si>
  <si>
    <t>Sempere, Richard/0000-0002-2956-0998; Panagiotopoulos, Christos/0000-0001-6025-7703; Obernosterer, Ingrid/0000-0002-2530-8111; Van Wambeke, France/0000-0003-0025-5911</t>
  </si>
  <si>
    <t>0146-6380</t>
  </si>
  <si>
    <t>ORG GEOCHEM</t>
  </si>
  <si>
    <t>Org. Geochem.</t>
  </si>
  <si>
    <t>PII S0146-6380(02)00057-8</t>
  </si>
  <si>
    <t>10.1016/S0146-6380(02)00057-8</t>
  </si>
  <si>
    <t>591ME</t>
  </si>
  <si>
    <t>WOS:000177883600010</t>
  </si>
  <si>
    <t>Squier, AH; Hodgson, DA; Keely, BJ</t>
  </si>
  <si>
    <t>Sedimentary pigments as markers for environmental change in an Antarctic lake</t>
  </si>
  <si>
    <t>20th International Meeting on Organic Geochemistry</t>
  </si>
  <si>
    <t>SEP 10-14, 2001</t>
  </si>
  <si>
    <t>NANCY, FRANCE</t>
  </si>
  <si>
    <t>CHLOROPHYLL TRANSFORMATION PRODUCTS; CHROMATOGRAPHY MASS-SPECTROMETRY; PRESSURE CHEMICAL-IONIZATION; STERYL CHLORIN ESTERS; SULFUR BACTERIA; NATURAL-POPULATIONS; FECAL PELLETS; BACTERIOCHLOROPHYLLS; IDENTIFICATION; DISTRIBUTIONS</t>
  </si>
  <si>
    <t>Fossil pigments were identified in a sediment core from Kirisjes Pond, a small lake in the Larsemann Hills, east Antarctica, using reversed-phase HPLC and LC-MS/MS. Chlorophyll a- and b-derived components indicate the presence of oxygenic primary producers; steryl chlorin esters provide evidence of grazing, while shifts in their esterifying sterol composition record changes in the primary producer community. Bacteriochlorophyll c- and d-derived components, indicative of photic zone anoxia, were identified with structural variations including extensive alkylation in the macrocycle up to C-6. The pigment distribution reveals a change from oxygenated freshwater to a stratified water body with development of photic zone anoxia. This coincides with a marine incursion identified from diatom records and is followed by re-isolation and reversion to oxygenated freshwater conditions. (C) 2002 Elsevier Science Ltd. All rights reserved.</t>
  </si>
  <si>
    <t>Univ York, Dept Chem, York YO1 5DD, N Yorkshire, England; British Antarctic Survey, Nat Environm Res Council, Cambridge CB3 0ET, England</t>
  </si>
  <si>
    <t>University of York - UK; UK Research &amp; Innovation (UKRI); Natural Environment Research Council (NERC); NERC British Antarctic Survey</t>
  </si>
  <si>
    <t>Keely, BJ (corresponding author), Univ York, Dept Chem, York YO1 5DD, N Yorkshire, England.</t>
  </si>
  <si>
    <t>Keely, Brendan John/0000-0002-8560-1862</t>
  </si>
  <si>
    <t>PII S0146-6380(02)00177-8</t>
  </si>
  <si>
    <t>10.1016/S0146-6380(02)00177-8</t>
  </si>
  <si>
    <t>628AV</t>
  </si>
  <si>
    <t>WOS:000179970300026</t>
  </si>
  <si>
    <t>Walker, JS; Squier, AH; Hodgson, DA; Keely, BJ</t>
  </si>
  <si>
    <t>Origin and significance of 132-hydroxychlorophyll derivatives in sediments</t>
  </si>
  <si>
    <t>CHLOROPHYLL TRANSFORMATION PRODUCTS; CHROMATOGRAPHY MASS-SPECTROMETRY; PRESSURE CHEMICAL-IONIZATION; FECAL PELLETS; CHLORIN; IDENTIFICATION; DEGRADATION; SENESCENCE; ESTERS</t>
  </si>
  <si>
    <t>The authenticity of hydroxychlorophyll derivatives in sediments has been verified by subjecting pure chlorophyll preparations to the extraction method used for sediments. Model studies of chlorophyll autoxidation reveal hydroxychlorophyll as the major product formed in the presence of hydrogen peroxide. Its stability to further oxidation implies that hydroxychlorophyll derivatives are not precursors of aetioporphyrins and are more likely to produce cycloalkanoporphyrins via the processes of diagenesis. The occurrence of 13(2)-hydroxyphaeophytin a throughout a sediment core from Loch Ness confirms it to be a widespread chlorophyll oxidation product formed during early diagenesis. Profiles of hydroxychlorophyll derivatives in a sediment core from an Antarctic lake demonstrate their potential for use as markers of oxidation processes in palaeoenvironmental assessment. (C) 2002 Elsevier Science Ltd. All rights reserved.</t>
  </si>
  <si>
    <t>Univ York, Dept Chem, York, N Yorkshire YO10 5DD, England; British Antarctic Survey, Nat Environm Res Council, Cambridge CB3 0ET, England</t>
  </si>
  <si>
    <t>Keely, BJ (corresponding author), Univ York, Dept Chem, York YO10 5DD, N Yorkshire, England.</t>
  </si>
  <si>
    <t>PII S0146-6380(02)00178-X</t>
  </si>
  <si>
    <t>WOS:000179970300027</t>
  </si>
  <si>
    <t>Cantrill, DJ; Poole, I</t>
  </si>
  <si>
    <t>Crame, JA; Owen, AW</t>
  </si>
  <si>
    <t>Cretaceous patterns of floristic change in the Antarctic Peninsula</t>
  </si>
  <si>
    <t>PALAEOBIOGEOGRAPHY AND BIODIVERSITY CHANGE: THE ORDOVICIAN AND MESOZOIC-CENOZOIC RADIATIONS</t>
  </si>
  <si>
    <t>Conference on Palaeobiogeography and Biodiversity Change</t>
  </si>
  <si>
    <t>FEB, 2001</t>
  </si>
  <si>
    <t>ENGLAND</t>
  </si>
  <si>
    <t>GONDWANAN POLAR FORESTS; LATE ALBIAN CONIFERALES; SOUTH SHETLAND ISLANDS; ALEXANDER-ISLAND; LIVINGSTON-ISLAND; WILLIAMS POINT; FOSSIL WOOD; ANGIOSPERM DIVERSIFICATION; EAST ANTARCTICA; TRIASSIC FLORA</t>
  </si>
  <si>
    <t>Cretaceous radiation of angiosperms from low to high palaeolatitudes, coupled with the break-up of Gondwana, played a major role in establishing and maintaining biogeographic patterns across the southern hemisphere. Uncertainties in details of plate reconstructions provide conflicting hypotheses about area relationships of Gondwana fragments. This has led to a number of competing proposals concerning angiosperm migration across Gondwana. Central to this debate is the role of the Antarctic Peninsula, a region that is often envisaged as providing the main connection between east and west Gondwana. The initial radiation of angiosperms into the Antarctic Peninsula region, however, postdates appearances elsewhere in east Gondwana (e.g. Australia), strongly suggesting that the Antarctic Peninsula was not the main gateway, at least in the early stages of Gondwana radiation. A steep climatic gradient in this part of the world probably acted as an effective barrier to angiosperm radiation. The peak of floristic replacement coincides with the peak of Cretaceous warmth (Turonian) which in turn suggests that climatic warming acted as a forcing mechanism by pushing latitudinal belts of vegetation southwards. Once into the southern high latitudes angiosperms diversified, and as climates cooled during the Late Cretaceous a number of important groups seem to have their origins here. Recent investigations of Antarctic macro- and microfloras indicate progressive floristic replacement through the Cretaceous. Bryophytes, hepatophytes, bennettites and other seed plants all show a rapid decline in diversity. In contrast, ferns initially decline then recover, while conifers remain relatively stable. The ecological preferences of the replaced groups imply that angiosperms initially occupied areas of disturbance and were understorey colonizers, only later replacing fern thickets and becoming important in the overstorey. This pattern is consistent with those observed elsewhere through the Cretaceous.</t>
  </si>
  <si>
    <t>D.Cantrill@bas.ac.uk</t>
  </si>
  <si>
    <t>NERC [bas010007] Funding Source: UKRI</t>
  </si>
  <si>
    <t>1-86239-106-8</t>
  </si>
  <si>
    <t>10.1144/GSL.SP.2002.194.01.11</t>
  </si>
  <si>
    <t>Geochemistry &amp; Geophysics; Geology; Paleontology</t>
  </si>
  <si>
    <t>BV23Z</t>
  </si>
  <si>
    <t>WOS:000178304600011</t>
  </si>
  <si>
    <t>Crame, JA; Rosen, BR</t>
  </si>
  <si>
    <t>Cenozoic palaeogeography and the rise of modern biodiversity patterns</t>
  </si>
  <si>
    <t>TREE SPECIES RICHNESS; GLOBAL PATTERNS; DIVERSITY; OCEAN; CLIMATE; BIOGEOGRAPHY; ORIGINATION; ESCALATION; EVOLUTION; SCALE</t>
  </si>
  <si>
    <t>The steepest latitudinal and longitudinal gradients in taxonomic diversity at the present day are those associated with tropical high diversity foci. Although there has been a tendency in the past to regard these features as either evolutionary 'cradles' or 'museums' of considerable antiquity, this may not be the case. Within the marine realm, a uniform, pan-tropical fauna was progressively disrupted by a series of plate tectonic events, the most important of which were the Early Miocene (c. 20 Ma) collisions of Africa/Arabia with Europe and Australia/New Guinea with Indonesia, and the Middle Miocene-latest Pliocene rise of the Central American Isthmus. This had the net effect of establishing two main tropical high diversity foci: the Indo-West Pacific and the Atlantic-Caribbean-East Pacific. Similar foci were also established at the same time in the terrestrial realm. Together with the physical isolation of Antarctica, these same tectonic events contributed significantly to global cooling throughout the Cenozoic Era. This in turn led to the imposition of a series of thermally defined provinces, and thus a considerable degree of biotic differentiation on a regional scale. However, something else seems to have been involved in the creation of very steep tropical diversity peaks. This could in part be a coincidental radiation of a series of unrelated taxa, or some sort of evolutionary feedback mechanism,between interacting clades. Alternatively, Late Cenozoic rates of origination may have been enhanced by an external forcing mechanism such as changes in Orbital Range Dynamics.</t>
  </si>
  <si>
    <t>A.Crame@bas.ac.uk; B.Rosen@nhm.ac.uk</t>
  </si>
  <si>
    <t>10.1144/GSL.SP.2002.194.01.12</t>
  </si>
  <si>
    <t>WOS:000178304600012</t>
  </si>
  <si>
    <t>Christner, BC; Mosley-Thompson, E; Thompson, LG; Zagorodnov, V; Reeve, JN</t>
  </si>
  <si>
    <t>Casassa, G; Sepulveda, FV; Sinclair, RM</t>
  </si>
  <si>
    <t>Isolation and identification of bacteria from ancient and modern ice cores</t>
  </si>
  <si>
    <t>PATAGONIAN ICE FIELDS: A UNIQUE NATURAL LABORATORY FOR ENVIRONMENTAL AND CLIMATE CHANGE STUDIES</t>
  </si>
  <si>
    <t>SERIES OF THE CENTRO DE ESTUDIOS CIENTIFICOS DE SANTIAGO</t>
  </si>
  <si>
    <t>Meeting on Patagonian Icefields</t>
  </si>
  <si>
    <t>MAR 24-28, 2000</t>
  </si>
  <si>
    <t>VALDIVIA, CHILE</t>
  </si>
  <si>
    <t>ANTARCTIC SEA-ICE; VIABLE BACTERIA; GLACIAL ICE; WATER; AMBER; NOV</t>
  </si>
  <si>
    <t>Glacial ice traps and preserves soluble chemical species, gases, and particulates including pollen grains, fungal spores and bacteria in chronologically-deposited archives. We have constructed an ice-core sampling system that melts ice only from the interior of cores, thereby avoiding surface contamination, and using this system we have isolated, cultured and characterized bacteria from ice cores that range from 5 to 20,000 years in age and that originate from both polar and non-polar regions. Low-latitude, high-altitude non-polar ice cores generally contain more culturable bacteria than polar ices, consistent with closer proximities to major biological ecosystems. Direct plating of melt-water from a 200-year old sample of ice from the Guliya ice cap on the Tibetan Plateau (China) generated similar to180 bacterial colonies per ml [colony forming units/ml; (cfu/ml)], whereas meltwater from late Holocene ice from Taylor Dome in Antarctica contained only 10 cfu/ml, and &lt;10 cfu/ml were present in ice of the same age from the Antarctic Peninsula and from Greenland. Based on their small-subunit ribosomal RNA-encoding DNA (rDNA) sequences many, but not all of the bacteria isolated are spore-forming species that belong to Bacillus and Actinomycete genera. Non-chronological fluctuations are observed in the numbers of bacteria present, consistent with episodic deposition resulting from attachment to larger particulates.</t>
  </si>
  <si>
    <t>Ohio State Univ, Dept Microbiol, Columbus, OH 43210 USA</t>
  </si>
  <si>
    <t>Reeve, JN (corresponding author), Ohio State Univ, Dept Microbiol, 484 W 12Th Ave, Columbus, OH 43210 USA.</t>
  </si>
  <si>
    <t>Mosley-Thompson, Ellen S/Z-2100-2018</t>
  </si>
  <si>
    <t>KLUWER ACADEMIC/PLENUM PUBL</t>
  </si>
  <si>
    <t>0-306-46789-5</t>
  </si>
  <si>
    <t>SER CENT ES</t>
  </si>
  <si>
    <t>BW27E</t>
  </si>
  <si>
    <t>WOS:000181394700002</t>
  </si>
  <si>
    <t>Aristarain, AJ</t>
  </si>
  <si>
    <t>Argentine program on climatic and environmental studies by means of ice cores</t>
  </si>
  <si>
    <t>ANTARCTIC PENINSULA CLIMATE; ISOTOPE RECORD</t>
  </si>
  <si>
    <t>More than twenty years ago the Instituto Antartico Argentino initiated ice-core studies in the Antarctic Peninsula. It also carried out the first work of this type in the Southern Patagonia Icefield and preliminary investigations in the Argentine central Andes. Until recently, sample analyses were performed in two prestigious French laboratories in the frame of a joint cooperation. However, installation of the Laboratorio de Estratigrafia Glaciar y Geoquimica del Agua y de la Nieve, LEGAN (Laboratory of Glacier Stratigraphy and Water. and Snow Geochemistry), in Mendoza, Argentina, has been recently finished and is equipped with the necessary facilities to develop glaciochemical determinations. Among our principal scientific results we mention the first isotopic-climatic reconstitution of the Antarctic Peninsula for the last 400 years. To investigate several millennia of high-resolution climatic and atmospheric fluctuations in this region we foresee completion, during the 2000/2001 austral summer, of an ice-core drilling to a depth of 350 m, initiated two years ago.</t>
  </si>
  <si>
    <t>Inst Antartico Argentino, Lab Estratig Glaciar &amp; Geoquim Agua &amp; Nieve, RA-5500 Mendoza, Argentina</t>
  </si>
  <si>
    <t>Aristarain, AJ (corresponding author), Inst Antartico Argentino, Lab Estratig Glaciar &amp; Geoquim Agua &amp; Nieve, Casilla 131, RA-5500 Mendoza, Argentina.</t>
  </si>
  <si>
    <t>WOS:000181394700013</t>
  </si>
  <si>
    <t>Préndez, M</t>
  </si>
  <si>
    <t>Potential application of methodologies for studying atmospheric aerosols, in the study of climatic and environmental information from ice cores</t>
  </si>
  <si>
    <t>This paper presents our most important work on atmospheric aerosols from longterm aerosol studies during the last twenty years in the South. Shetland Islands, Antarctic Peninsula. The objective is to study the potential for extended use of existing methodologies to measure both the particulate matter in the Antarctic atmosphere and to perform future analyses of climatic and environmental information from ice cores.</t>
  </si>
  <si>
    <t>Univ Chile, Lab Quim Atmosfera, Fac Ciencias Quim &amp; Farmaceut, Santiago, Chile</t>
  </si>
  <si>
    <t>Préndez, M (corresponding author), Univ Chile, Lab Quim Atmosfera, Fac Ciencias Quim &amp; Farmaceut, Casilla 233, Santiago, Chile.</t>
  </si>
  <si>
    <t>WOS:000181394700017</t>
  </si>
  <si>
    <t>Sjursen, H; Sinclair, BJ</t>
  </si>
  <si>
    <t>On the cold hardiness of Stereotydeus mollis (Acari: Prostigmata) from Ross Island, Antarctica</t>
  </si>
  <si>
    <t>PEDOBIOLOGIA</t>
  </si>
  <si>
    <t>supercooling; osmolality; microclimate; Stereotydeus mollis; Antarctica</t>
  </si>
  <si>
    <t>TERRESTRIAL; TOLERANCE; MITES</t>
  </si>
  <si>
    <t>Cold hardiness of the prostigmatid mite Stereotydeus mollis from Ross Island, Antarctica was investigated, and two years of microclimate temperatures recorded. There was no correlation between supercooling points and several microclimate parameters. Supercooling points changed significantly during the course of two summers, with highest median SCPs near the end of both summers. Osmolality was similar to what has been found in other Antarctic mites, however no thermal hysteresis activity was detectable in haemolymph samples. Preliminary investigations revealed that the main carbohydrates in the mite were glucose, trehalose and myo-inositol, with trace amounts of glycerol.</t>
  </si>
  <si>
    <t>Natl Environm Res Inst, Dept Terr Ecol, DK-8600 Silkeborg, Denmark; Univ Otago, Dept Zool, Dunedin, New Zealand</t>
  </si>
  <si>
    <t>Aarhus University; University of Otago</t>
  </si>
  <si>
    <t>Sjursen, H (corresponding author), Natl Environm Res Inst, Dept Terr Ecol, Vejlsovej 25,POB 314, DK-8600 Silkeborg, Denmark.</t>
  </si>
  <si>
    <t>Konestabo, Heidi S/F-9424-2011; Sinclair, Brent J/C-6133-2012</t>
  </si>
  <si>
    <t>Sinclair, Brent/0000-0002-8191-9910; Konestabo, Heidi Sjursen/0000-0002-0718-3984</t>
  </si>
  <si>
    <t>URBAN &amp; FISCHER VERLAG</t>
  </si>
  <si>
    <t>JENA</t>
  </si>
  <si>
    <t>BRANCH OFFICE JENA, P O BOX 100537, D-07705 JENA, GERMANY</t>
  </si>
  <si>
    <t>0031-4056</t>
  </si>
  <si>
    <t>Pedobiologia</t>
  </si>
  <si>
    <t>10.1078/0031-4056-00124</t>
  </si>
  <si>
    <t>Ecology; Soil Science</t>
  </si>
  <si>
    <t>Environmental Sciences &amp; Ecology; Agriculture</t>
  </si>
  <si>
    <t>546MV</t>
  </si>
  <si>
    <t>WOS:000175278600008</t>
  </si>
  <si>
    <t>Greenslade, P</t>
  </si>
  <si>
    <t>Assessing the risk of exotic Collembola invading subantarctic islands: prioritising quarantine management</t>
  </si>
  <si>
    <t>10th International Colloquium on Apterygota</t>
  </si>
  <si>
    <t>AUG 21-24, 2000</t>
  </si>
  <si>
    <t>UNIV S BOHEMIA, CESKE BUDEJOVICE, CZECH REPUBLIC</t>
  </si>
  <si>
    <t>UNIV S BOHEMIA</t>
  </si>
  <si>
    <t>risk assessment; quarantine management; Heard Island; invasive species; Hypogastruridae; Isotomidae</t>
  </si>
  <si>
    <t>SUB-ANTARCTIC ISLAND; MARION-ISLAND; SOUTH GEORGIA; DIPTERA; IMPACT</t>
  </si>
  <si>
    <t>Alien invertebrates pose considerable threats to subantarctic island ecosystems and, with warming climates, because the likelihood of immigrants establishing breeding populations on these islands, is increasing. These species can have profound effects on ecosystem structure and function and are capable of influencing landscape values. An assessment protocol has been designed to allow prioritisation of the risk of alien invasion. The protocol is tested for Heard Island using Collembola. Twenty species already present on other subantarctic islands were chosen as candidate taxa. They were scored from 1 to 5 according to five criteria, namely distribution, life history, habitat, ecosystem synchrony and dispersal ability. They can be considered to represent: 1. proximity potential, 2. population potential, 3. establishment potential, 4. persistence potential and 5. spread potential, respectively. The scores are summed to give a total invasion risk potential, so that species can be ranked in order of probability of introduction to Heard Island. The highest ranked species include members of the family Hypogastruridae, already recorded from South Georgia and the Antarctic Peninsula, and certain soil-dwelling, parthenogenetic Isotomidae. Appropriate management strategies are proposed to reduce the risk of the high priority species being introduced to Heard Island.</t>
  </si>
  <si>
    <t>Australian Natl Univ, Div Bot &amp; Zool, Canberra, ACT 0200, Australia</t>
  </si>
  <si>
    <t>Australian National University</t>
  </si>
  <si>
    <t>Greenslade, P (corresponding author), Australian Natl Univ, Div Bot &amp; Zool, Canberra, ACT 0200, Australia.</t>
  </si>
  <si>
    <t>10.1016/S0031-4056(04)70150-X</t>
  </si>
  <si>
    <t>576MY</t>
  </si>
  <si>
    <t>WOS:000177010100017</t>
  </si>
  <si>
    <t>Stevens, MI; Hogg, ID</t>
  </si>
  <si>
    <t>Expanded distributional records of Collembola and Acari in southern Victoria land, Antarctica</t>
  </si>
  <si>
    <t>Collembola; Acari; arthropod distribution; dispersal; invertebrate sampling</t>
  </si>
  <si>
    <t>MCMURDO SOUND REGION; VALLEY; SOILS; INVERTEBRATES; COMMUNITIES; ECOSYSTEMS; DIVERSITY; NEMATODES</t>
  </si>
  <si>
    <t>We provide new distributional records for the Collembola and Acari from south Victoria Land in the Ross Dependency, Antarctica, including the first extensive survey of Taylor Valley. We also describe the design of a modified device for the rapid sampling of Antarctic terrestrial arthropods. Sampling was carried out during the austral summers from 1998 to 2001. In several instances we found Gomphiocephalus hodgsoni, Neocryptopygus nivicolus and Stereotydeus mollis at sites where they were not reported in comprehensive surveys made some 40 years ago, which may imply recent range expansion (eg: local dispersal). By contrast, at McMurdo Station and at the former North Base (Marble Point) the distribution of G. hodgsoni and S. mollis was restricted, relative to previous records. We conclude that these latter changes may be the direct result of human activities.</t>
  </si>
  <si>
    <t>Univ Waikato, Dept Biol Sci, Ctr Biodivers &amp; Ecol Res, Hamilton, New Zealand</t>
  </si>
  <si>
    <t>University of Waikato</t>
  </si>
  <si>
    <t>Hogg, ID (corresponding author), Univ Waikato, Dept Biol Sci, Ctr Biodivers &amp; Ecol Res, Private Bag 3105, Hamilton, New Zealand.</t>
  </si>
  <si>
    <t>Hogg, Ian D./HNS-7393-2023</t>
  </si>
  <si>
    <t>Hogg, Ian D./0000-0002-6685-0089</t>
  </si>
  <si>
    <t>10.1078/0031-4056-00154</t>
  </si>
  <si>
    <t>591YJ</t>
  </si>
  <si>
    <t>WOS:000177907600006</t>
  </si>
  <si>
    <t>Ivanova, V; Aleksieva, K; Kolarova, M; Chipeva, V; Schlegel, R; Schlegel, B; Gräfe, U</t>
  </si>
  <si>
    <t>Neuropogonines A, B and C, new depsidon-type metabolites from Neuropogon sp., an Antarctic lichen</t>
  </si>
  <si>
    <t>PHARMAZIE</t>
  </si>
  <si>
    <t>INHIBITION; ACID</t>
  </si>
  <si>
    <t>Hans Knoll Inst Nat Stoff Forsch eV, D-07745 Jena, Germany; Bulgarian Acad Sci, Natl Collect Ind Microorganisms &amp; Cell Cultures, Inst Microbiol, Sofia, Bulgaria</t>
  </si>
  <si>
    <t>Hans Knoll Institute (HKI); Medical University Sofia; Bulgarian Academy of Sciences</t>
  </si>
  <si>
    <t>Gräfe, U (corresponding author), Hans Knoll Inst Nat Stoff Forsch eV, Beutenbergstr 11A, D-07745 Jena, Germany.</t>
  </si>
  <si>
    <t>GOVI-VERLAG GMBH</t>
  </si>
  <si>
    <t>ESCHBORN</t>
  </si>
  <si>
    <t>PHARMAZEUTISCHER VERLAG GINNHEIMER STRASSE 26, D-65760 ESCHBORN, GERMANY</t>
  </si>
  <si>
    <t>0031-7144</t>
  </si>
  <si>
    <t>Pharmazie</t>
  </si>
  <si>
    <t>Chemistry, Medicinal; Chemistry, Multidisciplinary; Pharmacology &amp; Pharmacy</t>
  </si>
  <si>
    <t>Science Citation Index Expanded (SCI-EXPANDED); Index Chemicus (IC)</t>
  </si>
  <si>
    <t>Pharmacology &amp; Pharmacy; Chemistry</t>
  </si>
  <si>
    <t>513YY</t>
  </si>
  <si>
    <t>WOS:000173409900013</t>
  </si>
  <si>
    <t>Ling, HU</t>
  </si>
  <si>
    <t>Snow algae of the Windmill Islands, continental Antarctica:: Chlorosarcina antarctica comb. nov (Chlorophyceae, Chlorophyta) from pink snow, with discussion of Chlorosarcina and allied genera</t>
  </si>
  <si>
    <t>ULTRASTRUCTURE; VOLVOCALES</t>
  </si>
  <si>
    <t>A red snow alga previously identified as Chlamydomonas antarcticus Wille was found to be the spores of Chlorosarcina antarctica (Wille) H.U. Ling comb. nov. The spores were spherical, very variable in size, and individually enveloped in mucilage. Each spore released a mass of daughter cells, which divided in three planes to form cubical, loose aggregates of green cells embedded in mucilage. The spherical to broadly oval cells had a mucilaginous cell wall and a cup-shaped chloroplast, which lacked pyrenoids. The cells sometimes produced biflagellate, naked zoospores without stigmata. The flagellar basal apparatus of the zoospores had a clockwise orientation. Dichotomously branched, mucilaginous stalks characteristic of Hormotila were produced in old cultures. The species was often found in semipermanent snow drifts on the shores of small bays, and records to date show it to be restricted to the Southern Hemisphere. Algal snow samples had pH of 6.3-6.9 and conductivity of 39-44, muS cm(-1). Two strains were isolated and are currently maintained at the Australian Antarctic Division. These did not grow above 10degreesC. The species was compared with a strain of Desmotetra stigmatica and with Chlorosarcina strain T105. The results confirm the validity of the genus Chlorosarcina and its retention in the Chlorophyceae.</t>
  </si>
  <si>
    <t>Ling, HU (corresponding author), Australian Antarctic Div, Channel Highway, Kingston, Tas 7050, Australia.</t>
  </si>
  <si>
    <t>hau.ling@antdiv.gov.au</t>
  </si>
  <si>
    <t>INT PHYCOLOGICAL SOC</t>
  </si>
  <si>
    <t>NEW BUSINESS OFFICE, PO BOX 1897, LAWRENCE, KS 66044-8897 USA</t>
  </si>
  <si>
    <t>10.2216/i0031-8884-41-1-1.1</t>
  </si>
  <si>
    <t>534NG</t>
  </si>
  <si>
    <t>WOS:000174592000001</t>
  </si>
  <si>
    <t>Buniy, RV; Ralston, JP</t>
  </si>
  <si>
    <t>Radio detection of high energy particles: Coherence versus multiple scales</t>
  </si>
  <si>
    <t>NEUTRINO INTERACTIONS; ANTARCTIC ICE; CROSS-SECTION; RADIATION; PULSES</t>
  </si>
  <si>
    <t>Radio Cherenkov emission underlies the detection of high energy particles via a signal growing like the particle energy squared. Cosmic-ray-induced electromagnetic showers are a primary application. While many studies have treated the phenomenon approximately, none have attempted to incorporate all the physical scales involved in problems with time- or spatially evolving charges. We find it is possible to decompose the calculated fields into the product of a form factor, characterizing a moving charge distribution, multiplying a general integral which depends on the charge evolution. In circumstances of interest for cosmic ray physics, the resulting expressions can be evaluated explicitly in terms of a few parameters obtainable from shower codes. The classic issues of Fraunhofer and Fresnel zones play a crucial role in the coherence.</t>
  </si>
  <si>
    <t>Univ Kansas, Dept Phys &amp; Astron, Lawrence, KS 66045 USA</t>
  </si>
  <si>
    <t>University of Kansas</t>
  </si>
  <si>
    <t>Buniy, RV (corresponding author), Vanderbilt Univ, Dept Phys &amp; Astron, Nashville, TN 37235 USA.</t>
  </si>
  <si>
    <t>Ralston, John/0000-0002-9296-6018</t>
  </si>
  <si>
    <t>10.1103/PhysRevD.65.016003</t>
  </si>
  <si>
    <t>509BT</t>
  </si>
  <si>
    <t>WOS:000173125000060</t>
  </si>
  <si>
    <t>Makarova, LN; Shirochkov, AV</t>
  </si>
  <si>
    <t>Long-term variability of stratospheric temperature above central Antarctica</t>
  </si>
  <si>
    <t>PHYSICS AND CHEMISTRY OF THE EARTH</t>
  </si>
  <si>
    <t>2nd IAGA/ICMA/PSMOS Workshop on Long-term Changes and Trends in the Atmosphere</t>
  </si>
  <si>
    <t>JUL 02-06, 2001</t>
  </si>
  <si>
    <t>CZECH REPUBLIC</t>
  </si>
  <si>
    <t>temperature; stratosphere; Antarctica</t>
  </si>
  <si>
    <t>Long-term variations of atmospheric temperature at different isobaric surfaces above central Antarctica were studied. Data of atmospheric balloon soundings at two Antarctic intercontinental stations Vostok and Amundsen-Scott (South Pole) taken for the last 40 years were used in this study. It was found that stratospheric temperature at both stations averaged seasonally or annually does not demonstrate any meaningful correlation with correspondent sunspot number variations. On the other hand, there is a notable correlation between stratospheric temperature at both stations and annually averaged values of the solar wind dynamic pressure. Mutual coupling between stratosphere thermal regimes at two stations demonstrates obvious seasonal dependence: there is a good correlation between them in summer while it disappears in winter and equinoxes. It was found also that stratospheric temperature above South Pole Station varies in the same manner as correspondent parameter above North Pole as reported previously by Labitzke and Naujokat [SPARC Newsletter 15 (2000) 11]. At both geographic poles, stratospheric temperature had obvious tendency to warming in 1972-1995. On the other hand, the correspondent Vostok data demonstrates clear tendency to cooling in this period. Possible explanations of these results are given. (C) 2002 Elsevier Science Ltd. All rights reserved.</t>
  </si>
  <si>
    <t>Makarova, LN (corresponding author), Arctic &amp; Antarctic Res Inst, 38 Bering St, St Petersburg 199397, Russia.</t>
  </si>
  <si>
    <t>1474-7065</t>
  </si>
  <si>
    <t>PHYS CHEM EARTH</t>
  </si>
  <si>
    <t>Phys. Chem. Earth</t>
  </si>
  <si>
    <t>6-8</t>
  </si>
  <si>
    <t>PII S1474-7065(02)00025-6</t>
  </si>
  <si>
    <t>10.1016/S1474-7065(02)00025-6</t>
  </si>
  <si>
    <t>Geosciences, Multidisciplinary; Meteorology &amp; Atmospheric Sciences; Water Resources</t>
  </si>
  <si>
    <t>Geology; Meteorology &amp; Atmospheric Sciences; Water Resources</t>
  </si>
  <si>
    <t>577CL</t>
  </si>
  <si>
    <t>WOS:000177044100008</t>
  </si>
  <si>
    <t>Espy, PJ; Stegman, J</t>
  </si>
  <si>
    <t>Trends and variability of mesospheric temperature at high-latitudes</t>
  </si>
  <si>
    <t>mesosphere; temperature; trend; variability</t>
  </si>
  <si>
    <t>GRAVITY-WAVE; LOWER THERMOSPHERE; HYDROXYL AIRGLOW; GLOBAL CHANGE; OH; MESOPAUSE; EQUINOX; MEINEL; OSCILLATION; BREAKING</t>
  </si>
  <si>
    <t>Using ground-based measurements of the hydroxyl (OH) Meinel (3,1) band nightglow near 1500 nm, nightly means of mesospheric temperature and OH radiance from 1991 to 1998 have been derived over Stockholm (59.5degreesN, 18.2degreesE). Time-series analysis techniques applied both to the eight-year data set as well as to an annual superposed epoch revealed several statistically significant periodic components. A trend analysis that included these periodic components revealed a small positive trend over the eight-year temperature time series. However, examining the trends on a mouth-to-mouth basis revealed positive trends during winter, small negative trends during equinox, and no significant trend during summer. This seasonal variability indicates that dynamic feedbacks, rather than radiative forcing of the mesosphere by infrared active gases, may dominate the response of the mesosphere to greenhouse gas emissions. In support of this an examination of the variability in the superposed epoch of OH temperature and radiance showed strong impulses near equinox. A simple gravity-wave transmission and dissipation model indicates that these are due in part to seasonal increases in the gravity-wave transmission of the lower atmosphere, and enhanced wave heating and mixing in the mesosphere. (C) 2002 Elsevier Science Ltd. All rights reserved.</t>
  </si>
  <si>
    <t>Embry Riddle Univ, Dept Phys Sci, Daytona Beach, FL USA; British Antarctic Survey, Div Phys Sci, Cambridge CB3 0ET, England; Stockholm Univ, Dept Meteorol, S-10691 Stockholm, Sweden</t>
  </si>
  <si>
    <t>Embry-Riddle Aeronautical University; UK Research &amp; Innovation (UKRI); Natural Environment Research Council (NERC); NERC British Antarctic Survey; Stockholm University</t>
  </si>
  <si>
    <t>Espy, PJ (corresponding author), Embry Riddle Univ, Dept Phys Sci, Daytona Beach, FL USA.</t>
  </si>
  <si>
    <t>PII S1474-7065(02)00036-0</t>
  </si>
  <si>
    <t>10.1016/S1474-7065(02)00036-0</t>
  </si>
  <si>
    <t>WOS:000177044100019</t>
  </si>
  <si>
    <t>Jarvis, MJ; Clilverd, MA; Ulich, T</t>
  </si>
  <si>
    <t>Methodological influences on F-region peak height trend analyses</t>
  </si>
  <si>
    <t>global change; ionosphere; thermosphere; trends</t>
  </si>
  <si>
    <t>LONG-TERM TRENDS; IONOSPHERE; MODEL; FOF2</t>
  </si>
  <si>
    <t>Published estimates of the trend in hmF2 using data from ionosondes over the last 30-40 years range from +0.8 to -0.6 km yr(-1) and are subject to the influence of several factors. These are considered here based upon an analysis of two southern hemisphere geomagnetically mid-latitude stations, Argentine Islands and Port Stanley. The influence of the equation used to calculate hmF2 at these stations can result in variations of +/-0.2 km yr(-1); choice of solar proxy has a small influence on the end result, where using E10.7 instead of F10.7 produces changes of -0.04 km yr(-1); neglecting any trends in geomagnetic activity can produce variations of +0.03 to +0.2 km yr(-1) at the two mid-latitude stations considered in this paper; for datasets of 30-40 years length ringing due to long memory processes can produce +/-0.2 km yr(-1) variability; the phase of the 11-year solar cycle, and its harmonics, captured by the datasets can cause variability of +/-0.5 km yr(-1); and the neglect of local time variations in thermospheric wind conditions could result in +0.2 km yr(-1) for analysis which only considers local midday data. The Argentine Islands and Port Stanley datasets show ringing terms that are still converging towards trend results of -0.25 to -0.30 km yr(-1), which are in close agreement with the satellite drag trend estimates. Crown Copyright (C) 2002 Published by Elsevier Science Ltd. All rights reserved.</t>
  </si>
  <si>
    <t>British Antarctic Survey, Cambridge CB3 0ET, England; Sodankyla Geophys Observ, Sodankyla, Finland</t>
  </si>
  <si>
    <t>Jarvis, MJ (corresponding author), British Antarctic Survey, Madingley Rd, Cambridge CB3 0ET, England.</t>
  </si>
  <si>
    <t>Ulich, Thomas/G-3727-2018</t>
  </si>
  <si>
    <t>Ulich, Thomas/0000-0001-8217-022X</t>
  </si>
  <si>
    <t>PII S1474-7065(02)00041-4</t>
  </si>
  <si>
    <t>10.1016/S1474-7065(02)00041-4</t>
  </si>
  <si>
    <t>WOS:000177044100024</t>
  </si>
  <si>
    <t>Alfonsi, L; De Franceschi, G; Perrone, L; Materassi, M</t>
  </si>
  <si>
    <t>Long-term trends of the critical frequency of the F2 layer at northern and southern high latitude regions</t>
  </si>
  <si>
    <t>long-term trends; ionosphere; F2 region; high latitudes</t>
  </si>
  <si>
    <t>WEIGHTED MAGNETIC INDEXES; UPPER-ATMOSPHERE; INDICATOR; AP(TAU)</t>
  </si>
  <si>
    <t>The long-term behaviour of the plasma frequency of the F2 layer, foF2, is investigated to contribute to the discussion about the natural or anthropogenic origin of the ionospheric long-term changes. In this paper, long time series of hourly foF2 data from two high latitude ionospheric observatories of both the hemispheres are analysed. A decreasing trend of foF2 is found confirming a previous result obtained by using the foF2 monthly medians from Antarctic stations. This negative trend does not show a clear dependence on the long-term behaviour of the geomagnetic activity impact on the ionosphere. (C) 2002 Elsevier Science Ltd. All rights reserved.</t>
  </si>
  <si>
    <t>Ist Nazl Geofis &amp; Vulcanol, I-00143 Rome, Italy; IROE Nello Carrata, I-50127 Florence, Italy</t>
  </si>
  <si>
    <t>Alfonsi, L (corresponding author), Ist Nazl Geofis &amp; Vulcanol, Via Vigna Murata 605, I-00143 Rome, Italy.</t>
  </si>
  <si>
    <t>lucilla.alfonsi@ingv.it</t>
  </si>
  <si>
    <t>Alfonsi, Lucilla/V-2969-2018; perrone, loredana/I-8087-2014</t>
  </si>
  <si>
    <t>Alfonsi, Lucilla/0000-0002-1806-9327; De Franceschi, Giorgiana/0000-0002-3943-6798; Materassi, Massimo/0000-0002-7070-333X; Perrone, Loredana/0000-0003-4335-0345</t>
  </si>
  <si>
    <t>1873-5193</t>
  </si>
  <si>
    <t>PII S1474-7065(02)00043-8</t>
  </si>
  <si>
    <t>10.1016/S1474-7065(02)00043-8</t>
  </si>
  <si>
    <t>WOS:000177044100026</t>
  </si>
  <si>
    <t>Morgan-Kiss, RM; Ivanov, AG; Huner, NPA</t>
  </si>
  <si>
    <t>The Antarctic psychrophile, Chlamydomonas subcaudata, is deficient in state I state II transitions</t>
  </si>
  <si>
    <t>PLANTA</t>
  </si>
  <si>
    <t>anaerobiosis; cations; chlamydomonas (state transitions); light quality; state transitions; temperature</t>
  </si>
  <si>
    <t>PHOTOSYSTEM STOICHIOMETRY ADJUSTMENT; CHLOROPHYLL-PROTEIN COMPLEXES; LIGHT ENERGY-DISTRIBUTION; GREEN-ALGA; PHOTOSYNTHETIC APPARATUS; EXCITATION-ENERGY; INTACT LEAVES; REINHARDTII; MUTANTS; FLUORESCENCE</t>
  </si>
  <si>
    <t>State I-State 11 transitions were monitored in vivo and in vitro in the Antarctic, psychrophillic, green alga, Chlamydomonas subcaudata, as changes in the low-temperature (77 K) chlorophyll fluorescence emission maxima at 722 nm (F-722) relative to 699 nm (F-699). As expected, the control mesophillic species, Chlamydomonas reinhardtii, was able to modulate the light energy distribution between photosystem 11 and photosystem I in response to exposure to four different conditions: (i) dark/anaerobic conditions, (ii) a change in Mg2+ concentration, (iii) red light, and (iv) increased incubation temperature. This was correlated with the ability to phosphorylate both of its major light-harvesting polypeptides. In contrast, exposure of C. subcaudata to the same four conditions induced minimum alterations in the 77 K fluorescence emission spectra, which was correlated with the ability to phosphorylate only one of its major light-harvesting polypeptides. Thus, C. subcaudata appears to be deficient in the ability to undergo a State I-State 11 transition. Functionally, this is associated with alterations in the apparent redox, status of the intersystem electron transport chain and with higher rates of photosystem I cyclic electron transport in the psychrophile than in the mesophile, based on in vivo P-700 measurements. Structurally, this deficiency is associated with reduced levels of Psa A/B relative to D1, the absence of specific photosystem I light-harvesting polypeptides [R.M. Morgan et al. (19198) Photosynth Res 56:303-314] and a cytochrome b(6)/f complex that exhibits a form of cytochrome f that is approximately 7 kDa smaller than that observed in C. reinhardtii. We conclude that the Antarctic psychrophile, C. subcaudata, is an example of a natural variant deficient in State I-State 11 transitions.</t>
  </si>
  <si>
    <t>Univ Western Ontario, Dept Plant Sci, London, ON N6A 5B7, Canada</t>
  </si>
  <si>
    <t>Western University (University of Western Ontario)</t>
  </si>
  <si>
    <t>Huner, NPA (corresponding author), Univ Western Ontario, Dept Plant Sci, 1151 Richmond St N, London, ON N6A 5B7, Canada.</t>
  </si>
  <si>
    <t>Ivanov, Alexander/0000-0001-7910-5494; Ivanov, Alexander G./0000-0001-7100-9211; Morgan-kiss, Rachael/0000-0003-4783-5358</t>
  </si>
  <si>
    <t>0032-0935</t>
  </si>
  <si>
    <t>Planta</t>
  </si>
  <si>
    <t>10.1007/s004250100635</t>
  </si>
  <si>
    <t>521NZ</t>
  </si>
  <si>
    <t>WOS:000173848200014</t>
  </si>
  <si>
    <t>Cabanac, AJ</t>
  </si>
  <si>
    <t>Contracted spleen in seals, estimates of dilated organs, and diving capacity</t>
  </si>
  <si>
    <t>WEDDELL SEALS; HEMOGLOBIN CONCENTRATIONS; MIROUNGA-LEONINA; HOODED SEALS; BLOOD-VOLUME; GAS TENSIONS; DURATION; BEHAVIOR</t>
  </si>
  <si>
    <t>The spleens of several seals from both the Arctic and the Antarctic were isolated and weighed when contracted. Spleens of the crabeater, leopard, and Weddell seals formed 0.23%, 0.39%, and 0.86% of the seals' body weights; those of the hooded and harp seals formed 0.56% and 0.35% of the seals' body weights. In these 5 phocids, a contracted spleen relates to the seat's body weight according to the equation (in which weights are in kilograms; n = 26; r(2)= 0.65): contracted spleen = 0.006 (body weight) - 0.11. Further, using the criterion reported in the literature that contracted spleens of hooded seal and harp seals weigh 80% less than when dilated, the sizes of dilated spleens were estimated for the 5 phocids of the study, plus that of the southern elephant seal. Dilated spleens ranged from 1 to 4% of the seal's body weight, which is in agreement with determinations of dilated spleens reported in the literature (harbor, 0.8-3.0%; harp, 1.5%; hooded, 2.2-4.0%). The general correlation among dilated spleens and the 6 phocids' body weights is: dilated spleen = 0.026(body weight) -0.39 (where weights are in kilograms; n = 31; r(2)= 0.70). The size of the spleen (either contracted or dilated) from the different species of seals in this study appeared to be correlated with the diving capacity of the phocids, as given in the literature. The phocids with greater diving capacities are the ones with the larger spleens.</t>
  </si>
  <si>
    <t>Univ Tromso, Dept Arctic Biol, N-9037 Tromso, Norway; Univ Tromso, Inst Med Biol, N-9037 Tromso, Norway</t>
  </si>
  <si>
    <t>UiT The Arctic University of Tromso; UiT The Arctic University of Tromso</t>
  </si>
  <si>
    <t>Cabanac, AJ (corresponding author), Univ Quebec, Dept Biol, 300 Allee Ursulines,CP 3300, Rimouski, PQ G5L 3A1, Canada.</t>
  </si>
  <si>
    <t>arnaud_cabanac@uqar.uquebec.ca</t>
  </si>
  <si>
    <t>10.1007/s003000100303</t>
  </si>
  <si>
    <t>511QY</t>
  </si>
  <si>
    <t>WOS:000173278100001</t>
  </si>
  <si>
    <t>Panicker, G; Aislabie, J; Saul, D; Bej, AK</t>
  </si>
  <si>
    <t>Cold tolerance of Pseudomonas sp 30-3 isolated from oil-contaminated soil, Antarctica</t>
  </si>
  <si>
    <t>ARTHROBACTER-GLOBIFORMIS SI55; PSYCHROTROPHIC BACTERIUM; ESCHERICHIA-COLI; LOW-TEMPERATURE; SHOCK PROTEINS; ACCLIMATION PROTEINS; DEGRADING BACTERIA; ICE NUCLEATION; CSPA; GENE</t>
  </si>
  <si>
    <t>Pseudomonas sp. 30-3 was enriched from oil-contaminated soil from Wright Valley, Antarctica using JP8 jet fuel as sole carbon source. This isolate exhibited tolerance to temperatures ranging from 0degreesC to 35degreesC when cultured in laboratory medium. In a freeze-thaw study, an 89% survival was observed when Pscudomonas sp. 303 was exposed to 4degreesC prior to freezing. PCR amplification of a 248-bp DNA fragment in Pseudomonas sp. 30-3 using capB-gene specific primers showed a 98% amino acid sequence homology with CapB of Pseudomonas fragi and 62% homology with CspA of Escherichia coli. Radiolabeling of total cellular proteins exhibited elevated expression of an 8-kDa protein at 4degreesC, which suggests that the CapB in Pseudomonas sp. 30-3 may play a pivotal role in survival and tolerance at cold and subzero temperatures. Tolerance to cold temperatures and the ability to degrade hydrocarbons by Pseudomonas sp. 30-3 provide support for the application of bioremediation for petroleum hydrocarbons in Antarctic soils.</t>
  </si>
  <si>
    <t>Univ Alabama, Dept Biol, Birmingham, AL USA; Landcare Res, Hamilton, New Zealand; Univ Auckland, Sch Biol Sci, Auckland 1, New Zealand</t>
  </si>
  <si>
    <t>University of Alabama System; University of Alabama Birmingham; Landcare Research - New Zealand; University of Auckland</t>
  </si>
  <si>
    <t>Bej, AK (corresponding author), Univ Alabama, Dept Biol, 1300 Univ Blvd, Birmingham, AL USA.</t>
  </si>
  <si>
    <t>/0000-0003-3060-1088</t>
  </si>
  <si>
    <t>10.1007/s003000100304</t>
  </si>
  <si>
    <t>WOS:000173278100002</t>
  </si>
  <si>
    <t>Hernando, M; Carreto, JI; Carignan, MO; Ferreyra, GA; Gross, C</t>
  </si>
  <si>
    <t>Effects of solar radiation on growth and mycosporine-like amino acids content in Thalassiosira sp, an Antarctic diatom</t>
  </si>
  <si>
    <t>ULTRAVIOLET-B RADIATION; UV-ABSORBING COMPOUNDS; GREAT-BARRIER-REEF; PROROCENTRUM-MICANS; MARINE ORGANISMS; PHYTOPLANKTON; PHOTOSYNTHESIS; SUNSCREENS; EXPOSURE; SENSITIVITY</t>
  </si>
  <si>
    <t>The main objective of this study was to investigate the role of mycosporine-like amino acids (MAAs) in the short-term (hours) and long-term (several days) photoacclimation to solar ultraviolet radiation (UVR) of a marine Antarctic diatom (Thalassiosira sp.). The Cultures were exposed to natural solar radiation and grown over 72 h and 6 days under three experimental irradiance treatments: (1) photosynthetic available radiation (PAR) + UVR (280-700 nm), (2) PAR + UVA (315-700 nm), and (3) PAR (400700 nm). Two MAAs were identified and quantified in the cells: porphyra-334 and shinorine. The cultures showed an initial period of growth inhibition and the rate of synthesis of MAAs (p) was very high in all treatments in the short-term experiment and during the first 2 days of the long-term experiment. No differences between treatments were observed in the accumulation of these compounds. After 2 days of exposure, however, the MAA content per cell was several times higher than that initially found in all treatments, and the cells exposed to the PAR + UVR treatment displayed the maximum concentration.</t>
  </si>
  <si>
    <t>Consejo Nacl Invest Cient &amp; Tecn, CADIC, Ctr Austral Invest Cientif, RA-9410 Tierra del Fuego, Ushuaia, Argentina; Inst Nacl Invest &amp; Desarrollo Pesquero, RA-7600 Mar Del Plata, Argentina; Inst Antartico Argentino, RA-1010 Buenos Aires, DF, Argentina; Alfred Wegener Inst Polar &amp; Marine Res, D-27568 Bremerhaven, Germany</t>
  </si>
  <si>
    <t>Consejo Nacional de Investigaciones Cientificas y Tecnicas (CONICET); National Fisheries Research &amp; Development Institute (INIDEP); Instituto Antartico Argentino; Helmholtz Association; Alfred Wegener Institute, Helmholtz Centre for Polar &amp; Marine Research</t>
  </si>
  <si>
    <t>Hernando, M (corresponding author), Consejo Nacl Invest Cient &amp; Tecn, CADIC, Ctr Austral Invest Cientif, CC 92, RA-9410 Tierra del Fuego, Ushuaia, Argentina.</t>
  </si>
  <si>
    <t>hernando@infovia.com.ar</t>
  </si>
  <si>
    <t>10.1007/s003000100306</t>
  </si>
  <si>
    <t>WOS:000173278100003</t>
  </si>
  <si>
    <t>Clarke, J; Kerry, K; Irvine, L; Phillips, B</t>
  </si>
  <si>
    <t>Chick provisioning and breeding success of Adelie penguins at Bechervaise Island over eight successive seasons</t>
  </si>
  <si>
    <t>SEA-ICE EXTENT; FOOD AVAILABILITY; ROSS SEA; NETS; VARIABILITY; ANTARCTICA; PREDATORS; CAUGHT; OCEAN</t>
  </si>
  <si>
    <t>Data on foraging trip durations and meal sizes were collected by means of an automated monitoring system from breeding Adelie penguins (Pygoscelis adeliae) at Bechervaise Island over eight breeding seasons, commencing in 1991-92. Significant interannual differences in duration of foraging trips, meal sizes and diet composition were observed. These parameters were correlated with breeding success and fledging masses, and provide useful indicators of food availability during the breeding season. Chicks were particularly vulnerable to a decreased availability of food during the first 3 weeks after hatching.</t>
  </si>
  <si>
    <t>Kerry, K (corresponding author), Australian Antarctic Div, Channel Highway, Kingston, Tas 7050, Australia.</t>
  </si>
  <si>
    <t>Irvine, Lyn/KHD-4206-2024</t>
  </si>
  <si>
    <t>10.1007/s003000100307</t>
  </si>
  <si>
    <t>WOS:000173278100004</t>
  </si>
  <si>
    <t>Peck, LS</t>
  </si>
  <si>
    <t>Ecophysiology of Antarctic marine ectotherms: limits to life</t>
  </si>
  <si>
    <t>BRACHIOPOD LIOTHYRELLA-UVA; METABOLIC COLD ADAPTATION; NEMERTEAN PARBORLASIA-CORRUGATUS; LIMPET NACELLA-CONCINNA; SLOW MUSCLE-FIBERS; MITOCHONDRIAL-FUNCTION; TEMPERATE EELPOUTS; LARVAL DEVELOPMENT; ARENICOLA-MARINA; SIGNY ISLAND</t>
  </si>
  <si>
    <t>The ecophysiology of Antarctic marine ectotherms is an area of active research. This review of recent progress covers metabolism, mitochondrial function, aerobic scope, growth and development. Energetics is shown to be a central feature of adaptation to temperature, with mitochondrial function and tissue oxygen supply important in setting limits to organismal size and performance.</t>
  </si>
  <si>
    <t>lspe@pcmail.nerc-bas.ac.uk</t>
  </si>
  <si>
    <t>10.1007/s003000100308</t>
  </si>
  <si>
    <t>WOS:000173278100005</t>
  </si>
  <si>
    <t>Schloss, IR; Ferreyra, GA</t>
  </si>
  <si>
    <t>Primary production, light and vertical mixing in Potter Cove, a shallow bay in the maritime Antarctic</t>
  </si>
  <si>
    <t>KING-GEORGE-ISLAND; SOUTH-SHETLAND; PHYTOPLANKTON BIOMASS; BRANSFIELD STRAIT; PHOTOSYNTHESIS; COASTAL; OCEAN; SUMMER; TIME; HYDROGRAPHY</t>
  </si>
  <si>
    <t>Phytoplankton photosynthesis was measured during spring-summer 1991-1992 in the inner and outer part of the shallow Potter Cove, King George Island. Strong winds characterise this area. Wind-induced turbulent mixing was quantified by means of the root-mean square expected vertical displacement depth of cells in the water column, Z(t) The light attenuation coefficient was used as a measure of the influence of the large amount of terrigenous particles usually present in the water column; 1% light penetration ranged between 30 and 9 m, and between 30 and 15 m for the inner and outer cove, respectively. Obvious differences between photosynthetic capacity [P*(max); averages 2.6 and 0.6 mug C (mug chlorophyll-a)(-1) h(-1)] and photosynthetic efficiency {alpha*; 0.073 and 0.0018 mug C (mug chlorophyll-a) 1 h-1 [( mumol m(-2) s(-1))(-1)]) values were obtained for both sites during low mixing conditions (Z, from 10 to 20 in), while no differences were found for high mixing situations (Z(t) &gt; 20 m). This suggests different photoacclimation of phytoplankton responses, induced by modifications of the light field, which in turn are controlled by physical forcing. Our results suggest that although in experimental work P*(max), can be high, wind-induced mixing and low irradiance will prevent profuse phytoplankton development in the area.</t>
  </si>
  <si>
    <t>Inst Antartico Argentino, RA-1248 Buenos Aires, DF, Argentina</t>
  </si>
  <si>
    <t>Schloss, IR (corresponding author), Inst Antartico Argentino, C1010AAZ, RA-1248 Buenos Aires, DF, Argentina.</t>
  </si>
  <si>
    <t>Schloss, Irene R./U-5411-2018</t>
  </si>
  <si>
    <t>Schloss, Irene R./0000-0002-5917-8925; Ferreyra, Gustavo Adolfo/0000-0003-1953-5067</t>
  </si>
  <si>
    <t>10.1007/s003000100309</t>
  </si>
  <si>
    <t>WOS:000173278100006</t>
  </si>
  <si>
    <t>Le Roux, V; Chapuis, JL; Frenot, Y; Vernon, P</t>
  </si>
  <si>
    <t>Diet of the house mouse (Mus musculus) on Guillou Island, Kerguelen archipelago, Subantarctic</t>
  </si>
  <si>
    <t>SOUTHERN-OCEAN ISLANDS; PRINCE-EDWARD-ISLANDS; SUB-ANTARCTIC ISLAND; CLIMATE-CHANGE; MARION-ISLAND; MICE; IMPACT; INVERTEBRATES; HISTORY; ECOLOGY</t>
  </si>
  <si>
    <t>The diet of the house mouse (Mus musculus domesticus), introduced to the Kerguelen archipelago in the 1800s, was studied at monthly intervals from August 1997 to July 1998 in the closed communities of Acaena magellanica, the main habitat of mice on Guillou Island. The analysis of 291 stomach contents showed that this opportunistic rodent included a variety of items in its diet: earthworms (Dendrodrilus rubidus tenuis, Microscolex kerguelensis), caterpillars of a flightless moth (Pringleophaga kerguelensis), weevil adults and larvae (Ectemnorrhinus spp.), seeds of Acaena magellanica, and floral parts of dandelion (Taraxacum officinale). The animal prey were dominant in its diet all year round, except in summer. Based on the presence of chaetae in the stomach contents, our results show that earthworms are an important prey for the house mouse at Kerguelen. The consequences of these food habits for the invertebrate communities of the subantarctic islands are discussed.</t>
  </si>
  <si>
    <t>Museum Natl Hist Nat, CNRS, Lab Evolut Syst Nat &amp; Modifies, UMR 6553, F-75005 Paris, France; Univ Rennes 1, CNRS, UMR 6553, Biol Stn, F-35380 Paimpont, France</t>
  </si>
  <si>
    <t>Museum National d'Histoire Naturelle (MNHN); Centre National de la Recherche Scientifique (CNRS); CNRS - Institute of Ecology &amp; Environment (INEE); Universite de Rennes; Centre National de la Recherche Scientifique (CNRS); CNRS - Institute of Ecology &amp; Environment (INEE)</t>
  </si>
  <si>
    <t>Chapuis, JL (corresponding author), Museum Natl Hist Nat, CNRS, Lab Evolut Syst Nat &amp; Modifies, UMR 6553, 57 Rue Cuvier, F-75005 Paris, France.</t>
  </si>
  <si>
    <t>chapuis@mnhn.fr</t>
  </si>
  <si>
    <t>Vernon, Philippe/A-9019-2010</t>
  </si>
  <si>
    <t>Vernon, Philippe/0000-0002-6237-7511</t>
  </si>
  <si>
    <t>10.1007/s003000100310</t>
  </si>
  <si>
    <t>WOS:000173278100007</t>
  </si>
  <si>
    <t>Tatián, M; Sahade, R; Kowalke, J; Kivatinitz, SC; Esnal, GB</t>
  </si>
  <si>
    <t>Food availability and gut contents in the ascidian Cnemidocarpa verrucosa at Potter Cove, Antarctica</t>
  </si>
  <si>
    <t>KING-GEORGE-ISLAND; SUSPENSION FEEDERS; SOUTH SHETLAND; MCMURDO-SOUND; PHYTOPLANKTON; BED</t>
  </si>
  <si>
    <t>A high seasonality characterizes Antarctic environments, and generates marked differences in availability and composition of food for benthic filter feeders. During a year-round period at Potter Cove, Antarctica, algal pigment concentration (chlorophyll a) and organic matter were measured in water column and sediment samples. Chemical composition of gut contents of the ascidian Cnemidocarpa verrucosa was also analyzed. Despite the low standing stock, capture and absorption of organic matter were detected year-round, suggesting intake of other particles besides microalgae. The mechanism that provides food to the ascidians and epibenthic communities may be related to the supply of allochtonous particles, bottom resuspension events, and microbial community dynamics. Sea-ice cycles may affect food availability in terms of water-column mixing and benthic resuspension. The scarce primary production and the high amount of sedimented material are not limiting conditions in Potter Cove, which presents a rich ascidian community.</t>
  </si>
  <si>
    <t>Univ Nacl Cordoba, FCEF &amp; Nat, Cat Anat Comparada Ecol Marina, RA-5000 Cordoba, Argentina; Alfred Wegener Inst Polar &amp; Marine Res, D-27515 Bremerhaven, Germany; Fac Ciencias Quim, RA-5000 Cordoba, Argentina; Univ Buenos Aires, Fac Ciencias Exactas &amp; Nat, Dept Ciencias Biol, RA-1428 Buenos Aires, DF, Argentina</t>
  </si>
  <si>
    <t>National University of Cordoba; Helmholtz Association; Alfred Wegener Institute, Helmholtz Centre for Polar &amp; Marine Research; University of Buenos Aires</t>
  </si>
  <si>
    <t>Tatián, M (corresponding author), Univ Nacl Cordoba, FCEF &amp; Nat, Cat Anat Comparada Ecol Marina, Av Velez Sarsfield 299, RA-5000 Cordoba, Argentina.</t>
  </si>
  <si>
    <t>Sahade, Ricardo/0000-0001-5650-8135; Tatian, Marcos/0000-0002-9092-9184</t>
  </si>
  <si>
    <t>10.1007/s003000100311</t>
  </si>
  <si>
    <t>WOS:000173278100008</t>
  </si>
  <si>
    <t>Scott, CL; Kwasniewski, S; Falk-Petersen, S; Sargent, JR</t>
  </si>
  <si>
    <t>Lipids and fatty acids in the copepod Jaschnovia brevis (Jaschnov) and in particulates from Arctic waters</t>
  </si>
  <si>
    <t>NORTHERN BARENTS-SEA; MARGINAL ICE-ZONE; CALANUS-PROPINQUUS; CALANOIDES-ACUTUS; ANTARCTIC COPEPODS; WEDDELL-SEA; RHINCALANUS-GIGAS; WAX ESTERS; ZOOPLANKTON; TRIACYLGLYCEROLS</t>
  </si>
  <si>
    <t>The small, sub-ice copepod Jaschnovia brevis is rich in triacylglycerols, suggesting a feeding behaviour not constrained to the seasonal phytoplankton bloom. The copepod's triacylglycerol reserves contain: the diatom biomarkers 16:1n-7 (23.9%), 20:5n-3 (8.5%) and C16 PUFA (1.3%), the flagellate biomarkers 18:4n-3 (3.7%) and 22:6n-3 (3.3%), and the Calanus copepod biomarkers 20:1n-9 (7.7%) and 22:1n-11 (6.2%). Total lipid from particulates in the water column contained polar lipid (45.0%), wax esters (24.9%) and triacylglycerols (11.2%) as major components. The total lipids in the particulates were rich in 18:1n-9 (31.5%) and 16:0 (21.2%), and relatively rich in 18:0 (7.8%) and 18:2n-6 (9.2%). The triacylglycerols in the particulates contained 16:1n-7 (20.7%), C16 PUFA (4.1%), 18:4n-3 (1.9%), 20:5n-3 (3.6%), 22:6n-3 1.9%), 20:1n-9 (5.2%) and 22:1n-11 (3.9%). The polar lipids in the particulates contained 16:1n-7 (17.3%), C16 PUFA (7.8%), 18:4n-3 (3.3%), 20:5n-3 (14.5%) and 22:6n-3 (9.6%). The fatty alcohols in the wax esters of the particulates were mainly 16:0 (11.3%), 20:1n-9 (211.1%) and 22:1n-11 (30.6%). The nature of the particulates, their possible origin in living and non-living material, and their role in the nutrition of J. brevis are discussed.</t>
  </si>
  <si>
    <t>Univ Stirling, Inst Aquaculture, Stirling FK9 4LA, Scotland; Univ Stirling, Dept Biol &amp; Mol Sci, Stirling FK9 4LA, Scotland; Polish Acad Sci, Inst Oceanol, PL-81712 Sopot, Poland; Norwegian Polar Res Inst, N-9005 Tromso, Norway</t>
  </si>
  <si>
    <t>University of Stirling; University of Stirling; Polish Academy of Sciences; Institute of Oceanology of the Polish Academy of Sciences; Norwegian Polar Institute</t>
  </si>
  <si>
    <t>Sargent, JR (corresponding author), Univ Stirling, Inst Aquaculture, Stirling FK9 4LA, Scotland.</t>
  </si>
  <si>
    <t>10.1007/s003000100312</t>
  </si>
  <si>
    <t>WOS:000173278100009</t>
  </si>
  <si>
    <t>Trenerry, LJ; McMinn, A; Ryan, KG</t>
  </si>
  <si>
    <t>In situ oxygen microelectrode measurements of bottom-ice algal production in McMurdo Sound, Antarctica</t>
  </si>
  <si>
    <t>DIFFUSIVE BOUNDARY-LAYER; SEA-ICE; MICROBIAL COMMUNITIES; MICROALGAE; PHOTOSYNTHESIS; LIGHT; MAT; PHOTOADAPTATION; SEDIMENTS; PROFILES</t>
  </si>
  <si>
    <t>In-situ estimates of fast-ice algal productivity at Cape Evans, McMurdo Sound, in 1999 were lower than at the same site in previous years. Under-ice irradiance was between 0 and 8 mumol photons m(-2) s(-1); the ice was between 1.9 and 2.0 m thick and the algal biomass averaged 150 mg chl a m(-2), although values as high as 378 mg chl a m(-2) were recorded. Production on 11 and 12 November was between 0.053 and 1.474 mg C m(-2) h(-1). When the data from 11 November were fitted to a hyperbolic tangent function, a multilinear regression gave estimates for P-max of 0.571 nmol O-2 cm(-2) s(-1), an alpha of 0.167 nmol O-2 cm(-2) s(-1) mumol-1 photons m(-2) s-1 and an E-k of 3.419 mumol photons m-2 s(-1). A P-max of 2.674 nmol O-2 cm(-2) s(-1), an alpha of 0.275 nmol 02 cm-2 spmol-1 photons m(-2) s(-1), r of 0.305 nmol O-2 cm(-2) s(-1) and an E-k of 9.724 mumol(-1) photons m(-2) s(-1) were estimated from the 12 November data. The sea-ice algal community was principally comprised of Nitzschia stellata, Entomoneis kjellnzanii and Berkeleya adeliensis. Other taxa present included N. Iccointei, Fragilariopsis spp., Nai,icula glaciei, Pleurosigina spp. and Amphora spp. Variations in the method for estimating the thickness of the diffusive boundary layer were not found to significantly affect the measurements of oxygen flux. However, the inability to accurately measure fine-scale variations in biomass is thought to contribute to the scatter of the P versus E data.</t>
  </si>
  <si>
    <t>Univ Tasmania, Inst Antarctic &amp; So Ocean Studies, Hobart, Tas 7001, Australia; Ind Res Ltd, Lower Hutt, New Zealand</t>
  </si>
  <si>
    <t>University of Tasmania; Callaghan Innovation</t>
  </si>
  <si>
    <t>10.1007/s003000100314</t>
  </si>
  <si>
    <t>WOS:000173278100010</t>
  </si>
  <si>
    <t>Vazquez, SC; Mac Cormack, WP</t>
  </si>
  <si>
    <t>Effect of isolation temperature on the characteristics of extracellular proteases produced by Antarctic bacteria</t>
  </si>
  <si>
    <t>POLAR RESEARCH</t>
  </si>
  <si>
    <t>BACILLUS-SUBTILIS; MARINE; PSEUDOMONAS; ENZYMES; PURIFICATION; PUMILUS</t>
  </si>
  <si>
    <t>Protease-producing psychrotolerant bacteria were isolated from Antarctic biotopes on casein agar plates using different incubation temperatures. Most of the isolates were non-spore-forming Gram-negative motile rods with catalase activity, 30% were pigmented and none of them were glucose fermenters. All the strains were grown in liquid cultures at 20 degreesC and protease secretion was tested using the azocascin method. Despite their capacity for production of a clear zone of hydrolysis in agar plates, some strains did not produce detectable levels of proteolytic activity in liquid cultures. The lowest apparent Optimum temperature for protease activity found in culture supernatants was 40 degreesC. Almost all the strains showed activation energy values about 10-20 kJ.mol(-1) lower than that observed for a mesophilic Subtilisin. Most of the proteases showed optimal activity at neutral or alkaline pH values and developed a multiple-band profile on gelatine-SDS-PAGE. It was observed that the lower the strain isolation temperature was, the more stongly cold-adapted-in terms of optimal temperature and activation energy-were the proteases produced by them. This dependence of the characteristics of the proteases on the isolation temperature is an important factor to take into account in the design of screening programmes directed towards the isolation of psychrotolerant bacteria able to produce proteases strongly or weakly adapted to work in the cold. The Antarctic area explored proved to be a promising source of proteolytic bacteria with potential use in industrial processes to be carried out at low or moderate temperatures.</t>
  </si>
  <si>
    <t>Univ Buenos Aires, Fac Farm &amp; Bioquim, Catedra Microbiol Ind &amp; Biotecnol, RA-1113 Buenos Aires, DF, Argentina; Inst Antartico Argentino, Dept Biol, RA-1010 Buenos Aires, DF, Argentina</t>
  </si>
  <si>
    <t>Vazquez, SC (corresponding author), Univ Buenos Aires, Fac Farm &amp; Bioquim, Catedra Microbiol Ind &amp; Biotecnol, Junin 956 6 Piso, RA-1113 Buenos Aires, DF, Argentina.</t>
  </si>
  <si>
    <t>Vazquez, Susana/AEP-5214-2022</t>
  </si>
  <si>
    <t>Vazquez, Susana/0000-0002-0760-6254; Mac Cormack, Walter/0000-0002-5280-5463</t>
  </si>
  <si>
    <t>NORWEGIAN POLAR INST</t>
  </si>
  <si>
    <t>TROMSO</t>
  </si>
  <si>
    <t>POLAR ENVIRONMENTAL CENTRE, N-9296 TROMSO, NORWAY</t>
  </si>
  <si>
    <t>0800-0395</t>
  </si>
  <si>
    <t>POLAR RES</t>
  </si>
  <si>
    <t>Polar Res.</t>
  </si>
  <si>
    <t>10.1111/j.1751-8369.2002.tb00067.x</t>
  </si>
  <si>
    <t>Ecology; Geosciences, Multidisciplinary; Oceanography</t>
  </si>
  <si>
    <t>Environmental Sciences &amp; Ecology; Geology; Oceanography</t>
  </si>
  <si>
    <t>570DW</t>
  </si>
  <si>
    <t>WOS:000176644200005</t>
  </si>
  <si>
    <t>Ingólfsson, O; Hjort, C</t>
  </si>
  <si>
    <t>Glacial history of the Antarctic Peninsula since the Last Glacial Maximum -: a synthesis</t>
  </si>
  <si>
    <t>Conference on Changes in Climate and Environment at High Latitudes</t>
  </si>
  <si>
    <t>OCT 31-NOV 02, 2001</t>
  </si>
  <si>
    <t>TROMSO, NORWAY</t>
  </si>
  <si>
    <t>ABANDONED PENGUIN COLONIES; KING-GEORGE-ISLAND; ICE SHELF; ENVIRONMENTAL-CHANGE; HOLOCENE; SEA; CLIMATE; RETREAT; RECORD; FLUCTUATIONS</t>
  </si>
  <si>
    <t>The extent of ice, thickness and dynamics of the Last Glacial Maximum (LGM) ice sheets in the Antarctic Peninsula region, as well as the pattern of subsequent deglaciation and climate development, are not well constrained in time and space. During the LGM, ice thickened considerably and expanded towards the middle-outer submarine shelves around the Antarctic Peninsula. Deglaciation was slow, occurring mainly between &gt;14 Ky BP (C-14 kilo years before present) and ca. 6 Ky BP, when interglacial climate was established in the region. After a climate optimum, peaking ca. 4 - 3 Ky BP, a cooling trend started, with expanding glaciers and ice shelves. Rapid warming during the past 50 years may be causing instability to some Antarctic Peninsula ice shelves.</t>
  </si>
  <si>
    <t>Univ Courses Svalbard, N-9170 Longyearbyen, Norway; Lund Univ, Dept Quaternary Geol, SE-22363 Lund, Sweden</t>
  </si>
  <si>
    <t>Lund University</t>
  </si>
  <si>
    <t>Ingólfsson, O (corresponding author), Univ Courses Svalbard, Box 156, N-9170 Longyearbyen, Norway.</t>
  </si>
  <si>
    <t>Ingolfsson, Olafur/L-8950-2015</t>
  </si>
  <si>
    <t>Ingolfsson, Olafur/0000-0001-8143-2005</t>
  </si>
  <si>
    <t>10.1111/j.1751-8369.2002.tb00075.x</t>
  </si>
  <si>
    <t>630ZB</t>
  </si>
  <si>
    <t>WOS:000180140700003</t>
  </si>
  <si>
    <t>Juchnowicz-Bierbasz, M; Rakusa-Suszczewski, S</t>
  </si>
  <si>
    <t>Nutrients and cations content in soil solutions from the present and abandoned penguin rookeries (Antarctica, King George Island)</t>
  </si>
  <si>
    <t>POLISH JOURNAL OF ECOLOGY</t>
  </si>
  <si>
    <t>Antarctica; nutrients; cations; soil solution; fresh waters; relict ornithogenic soil; penguin rookery</t>
  </si>
  <si>
    <t>ORNITHOGENIC SOILS; STATION</t>
  </si>
  <si>
    <t>Penguin rookeries are one of the main sources of nutrients for the poor ecosystems of Antarctica. At the current penguin rookeries, and in their vicinity, nitrogen rich ornithogenic soils are formed. Relict ornithogenic soils created at the abandoned rookeries hundreds or even thousands years ago are rich in phosphates. In the region of maritime Antarctica, water plays an important role in distribution and redistribution of nutrients (surface flows and percolation). Soil decomposition processes result in cations and nutrient release. In nutrients originating from relict ornithogenic soils of the Antarctic tundra, phosphates are the dominating elements; while in nutrients originating from contemporary ornithogenic soils nitrogen (mainly ammonia) is the main ingredient. Mineral soils free of penguin influence contain minute amounts of nutrients. Low pH of soil solutions (&lt;4) causes increase of dissolving of phosphate complexes. Near penguin rookery, pH was lowest (2.73-3.33) and intermediate (2.92-3.77) in relict soils. The values of pH were the highest in soil solutions from mineral soil (5.43-7.33). High concentration of cations (mainly K) in soil solutions from the ornithogenic soils and relict ornithogenic soils, suggest their organic (animal) origin.</t>
  </si>
  <si>
    <t>Polish Acad Sci, Dept Antarctic Biol, PL-02141 Warsaw, Poland</t>
  </si>
  <si>
    <t>Polish Acad Sci, Dept Antarctic Biol, Ustrzycka 10-12, PL-02141 Warsaw, Poland.</t>
  </si>
  <si>
    <t>marcus@dab.waw.pl; profesor@dad.waw.pl</t>
  </si>
  <si>
    <t>POLISH ACAD SCIENCES INST ECOLOGY</t>
  </si>
  <si>
    <t>LOMIANKI</t>
  </si>
  <si>
    <t>DZIEKANOW LESNY NEAR WARSAW, 05-092 LOMIANKI, POLAND</t>
  </si>
  <si>
    <t>1505-2249</t>
  </si>
  <si>
    <t>POL J ECOL</t>
  </si>
  <si>
    <t>Pol. J. Ecol.</t>
  </si>
  <si>
    <t>616TE</t>
  </si>
  <si>
    <t>WOS:000179318400007</t>
  </si>
  <si>
    <t>Rakusa-Suszczewski, S; Nedzarek, A</t>
  </si>
  <si>
    <t>Whale bones and macroalgae as source of nutrients and cations in the nearshore geoecosystem of Admiralty Bay (King George Island, Antarctica)</t>
  </si>
  <si>
    <t>whale bones; mineral composition; nutrients</t>
  </si>
  <si>
    <t>In the area of the western shore of Admiralty Bay (SSSI No. 8), the remains of 52 whale skulls were found, along the shores of the entire bay 175 skulls were reported. These skulls of whales caught in the area at the beginning of the 20th century are now considered as protected elements of the landscape. Whale bones provide a continuous source of chemical elements and nutrients that are released into the environment; they also cumulate elements of anthropogenic origin, e.g. Pb. The bones of whales as well as macroalgae and penguin feathers might be the source of calcium, phosphorus, carbon, nitrogen and sulphur for the land ecosystem.</t>
  </si>
  <si>
    <t>Rakusa-Suszczewski, S (corresponding author), Polish Acad Sci, Dept Antarctic Biol, Ustrzycka 10-12, PL-02141 Warsaw, Poland.</t>
  </si>
  <si>
    <t>Nędzarek, Arkadiusz/F-3959-2016</t>
  </si>
  <si>
    <t>Nędzarek, Arkadiusz/0000-0002-6094-3647</t>
  </si>
  <si>
    <t>616TG</t>
  </si>
  <si>
    <t>WOS:000179318600007</t>
  </si>
  <si>
    <t>Amigo, SG; Lozano, JS; Yusty, MAL</t>
  </si>
  <si>
    <t>Extraction of polycyclic aromatic hydrocarbons in barn owls (Tyto alba) from northwest Spain by SFE and HPLC-FL analysis</t>
  </si>
  <si>
    <t>POLYCYCLIC AROMATIC COMPOUNDS</t>
  </si>
  <si>
    <t>fluorescence detection; high-performance liquid chromatography; polycyclic aromatic hydrocarbons; predatory birds; supercritical fluid extraction</t>
  </si>
  <si>
    <t>SUPERCRITICAL-FLUID EXTRACTION; CARBON-DIOXIDE EXTRACTION; LIQUID-CHROMATOGRAPHY; ENVIRONMENTAL SOLIDS; ANTARCTIC PENINSULA; ARTHUR HARBOR; SOIL SAMPLES; SEDIMENTS; CONTAMINATION; PRODUCTS</t>
  </si>
  <si>
    <t>Supercritical fluid extraction (SFE) and high-performance liquid chromatography-fluorescence detection (HPLC-FL) were used to determine concentration of anthracene, benzo[a]anthracene, benzo[a]pyrene, benzo[b]fluoranthene, benzo[ghi]perylene, benzo[k]fluoranthene, chrysene, fluoranthene, pyrene, and indeno[1,2,3-cd]pyrene in six classes of tissue (heart, liver, intestine, muscle, lung, and kidney) of 2 barn owls from Galicia (northwest Spain), We have detected fluoranthene and pyrene in &gt;40.0% of samples, anthracene in 35.4%, and benzo[a]anthracene in 12.3%. Mean concentrations were between 0.398 mug/kg dry weight for anthracene and 4.855 mug/kg dry weight for fluoranthene. Lung and intestine tissues were more polluted than the other tissues.</t>
  </si>
  <si>
    <t>Univ Santiago Compostela, Fac Pharm, Area Nutr &amp; Bromatol, Dept Analyt Chem Nutr &amp; Bromatol, E-15706 Santiago, Spain; Univ Santiago Compostela, Fac Pharm, Lab Bromatol, Inst Invest &amp; Food Anal, E-15706 Santiago, Spain</t>
  </si>
  <si>
    <t>Yusty, MAL (corresponding author), Univ Santiago Compostela, Fac Pharm, Area Nutr &amp; Bromatol, Dept Analyt Chem Nutr &amp; Bromatol, E-15706 Santiago, Spain.</t>
  </si>
  <si>
    <t>Lozano, Jesus Angel SLJA Simal/A-7828-2011; lage-yusty, Maria/L-5863-2014</t>
  </si>
  <si>
    <t>1040-6638</t>
  </si>
  <si>
    <t>POLYCYCL AROMAT COMP</t>
  </si>
  <si>
    <t>Polycycl. Aromat. Compd.</t>
  </si>
  <si>
    <t>10.1080/10406630210375</t>
  </si>
  <si>
    <t>Chemistry, Organic</t>
  </si>
  <si>
    <t>559CH</t>
  </si>
  <si>
    <t>WOS:000176006900001</t>
  </si>
  <si>
    <t>Arena, ME; Vater, G</t>
  </si>
  <si>
    <t>Brennan, RM; Gordon, SL; Williamson, B</t>
  </si>
  <si>
    <t>Propagation and production of small fruits in Tierra del Fuego, Argentina</t>
  </si>
  <si>
    <t>PROCEEDINGS OF THE EIGHTH INTERNATIONAL RUBUS AND RIBES SYMPOSIUM, VOLS 1 AND 2</t>
  </si>
  <si>
    <t>ACTA HORTICULTURAE</t>
  </si>
  <si>
    <t>8th International Rubus and Ribes Symposium</t>
  </si>
  <si>
    <t>DUNDEE, SCOTLAND</t>
  </si>
  <si>
    <t>berries; Rubus; Ribes; Berberis; Pernettya; Patagonia</t>
  </si>
  <si>
    <t>BERBERIS-BUXIFOLIA LAM; IN-VITRO PROPAGATION</t>
  </si>
  <si>
    <t>Tierra del Fuego constitutes the southernmost part of South America. Insularity and Antarctic influence result in a cold-temperate climate, lacking warm summers. With the aim of diversifying and expanding the current Patagonian agricultural and cattle production, mainly focused on sheep, the Laboratorio de Propagacion y Produccion Vegetal, Area de Recursos Agronomicos, (CADIC-CONICET) studied the propagation of native small fruit species and looked at the possibility of culturing native and non-native small fruit species. Several conventional propagation methods (seeds, cuttings and rhizomes) and in vitro methods (micropropagation and organogenesis) of native fruit species are being studied. In addition, phenological phases, growth analysis, branch characteristics, pruning effect, fruit yield and time of fruit ripening are being evaluated in native and non-native fruit species. The results obtained so far have drawn the attention of producers interested in the culture of these small fruits in Austral Patagonia.</t>
  </si>
  <si>
    <t>Ctr Austral Invest Cient CONICET, Lab Propagac &amp; Prod Vegetal, Area Recursos Agron, RA-9410 Ushuaia, Tierra Fuego, Argentina</t>
  </si>
  <si>
    <t>Consejo Nacional de Investigaciones Cientificas y Tecnicas (CONICET)</t>
  </si>
  <si>
    <t>Arena, ME (corresponding author), Ctr Austral Invest Cient CONICET, Lab Propagac &amp; Prod Vegetal, Area Recursos Agron, Cc 92, RA-9410 Ushuaia, Tierra Fuego, Argentina.</t>
  </si>
  <si>
    <t>INTERNATIONAL SOCIETY HORTICULTURAL SCIENCE</t>
  </si>
  <si>
    <t>LEUVEN 1</t>
  </si>
  <si>
    <t>PO BOX 500, 3001 LEUVEN 1, BELGIUM</t>
  </si>
  <si>
    <t>0567-7572</t>
  </si>
  <si>
    <t>90-6605-995-8</t>
  </si>
  <si>
    <t>ACTA HORTIC</t>
  </si>
  <si>
    <t>10.17660/ActaHortic.2002.585.114</t>
  </si>
  <si>
    <t>Agronomy; Genetics &amp; Heredity; Horticulture; Nutrition &amp; Dietetics</t>
  </si>
  <si>
    <t>Agriculture; Genetics &amp; Heredity; Nutrition &amp; Dietetics</t>
  </si>
  <si>
    <t>BV80E</t>
  </si>
  <si>
    <t>WOS:000180071700114</t>
  </si>
  <si>
    <t>Cockell, CS; Rettberg, P; Horneck, G; Patel, M; Lammer, H; Córdoba-Jabonero, C</t>
  </si>
  <si>
    <t>Lacoste, H</t>
  </si>
  <si>
    <t>Ultraviolet protection in microhabitats -: Lessons from the terrestrial poles applied to Mars</t>
  </si>
  <si>
    <t>PROCEEDINGS OF THE SECOND EUROPEAN WORKSHOP ON EXO-ASTROBIOLOGY</t>
  </si>
  <si>
    <t>ESA Special Publications</t>
  </si>
  <si>
    <t>2nd European Workshop on Exo/Astrobiology</t>
  </si>
  <si>
    <t>SEP 16-19, 2002</t>
  </si>
  <si>
    <t>GRAZ, AUSTRIA</t>
  </si>
  <si>
    <t>UV-RADIATION; DOSIMETER; BIOFILM; ALGAE; SNOW</t>
  </si>
  <si>
    <t>Spectroradiometry and dosimeters made from a monolayer of Bacillus subtilis spores were used to investigate the penetration of ultraviolet radiation into some widespread terrestrial microbial microhabitats in the Antarctic and Arctic. Layers of soil or dust, of greater than or equal to500 microns thickness, could reduce UV exposure such that no inactivation of spores could be measured after three days. Control spores were killed in 24 h. Spores in artificial cryptoendolithic habitats with similar to I mm rock covering obtained a reduction of UV radiation-induced inactivation of at least two orders of magnitude. Hypolithic spores were protected against any inactivation for at least four days. Snow covers of between 5 and 15 cm thickness, depending on age and heterogeneity, attenuated UV radiation by an order of magnitude, although snow cover is seasonal and subject to climatic factors. These dosimetric data demonstrate that, except for microbes on the surface of soil grains, many polar terrestrial microbial communities are well protected from incident UV radiation by a variety of physical and biological coverings - in contrast to isolated cells in polar aquatic habitats. The data have implications for protection of microorganisms transferred to Mars on spacecraft and organic material delivered by impact events.</t>
  </si>
  <si>
    <t>British Antarctic Survey, Cambridge, England</t>
  </si>
  <si>
    <t>British Antarctic Survey, High Cross,Madingley Rd, Cambridge, England.</t>
  </si>
  <si>
    <t>csco@bas.ac.uk; petra.rettberg@dlr.de; gerda.horneck@dlr.de; m.r.patel@open.ac.uk; helmut.lammer@oeaw.ac.at; cordobajc@inta.es</t>
  </si>
  <si>
    <t>Rettberg, Petra/AAI-4493-2021; Lammer, Helmut/HLX-0853-2023; Cordoba-Jabonero, Carmen/J-6331-2014</t>
  </si>
  <si>
    <t>Rettberg, Petra/0000-0003-4439-2395; Cordoba-Jabonero, Carmen/0000-0003-4859-471X</t>
  </si>
  <si>
    <t>ESA PUBLICATIONS DIVISION C/O ESTEC</t>
  </si>
  <si>
    <t>2200 AG NOORDWIJK</t>
  </si>
  <si>
    <t>PO BOX 299, 2200 AG NOORDWIJK, NETHERLANDS</t>
  </si>
  <si>
    <t>0379-6566</t>
  </si>
  <si>
    <t>92-9092-828-X</t>
  </si>
  <si>
    <t>ESA SPEC PUBL</t>
  </si>
  <si>
    <t>BW52U</t>
  </si>
  <si>
    <t>WOS:000182317000044</t>
  </si>
  <si>
    <t>de los Ríos, A; Wierzchos, J; Sancho, LG; Grube, M; Ascaso, C</t>
  </si>
  <si>
    <t>Microbial endolithic biofilms:: A means of surviving the harsh conditions of the Antarctic</t>
  </si>
  <si>
    <t>ESA SPECIAL PUBLICATIONS</t>
  </si>
  <si>
    <t>MICROORGANISMS; DESERT</t>
  </si>
  <si>
    <t>Much of the Antarctic continent's microbiota is restricted to endolithic: microecosystems which harbour distinct microbial communities as biofilms. The lithic substrate and the microorganisms comprising these films are intimately linked, giving rise to complex mineral-microbe interactions. The Antarctic biofilms; analysed in this study were characterised by the presence of extracellular polymer substances. Cyanobacteria appeared as key components of these biofilms in zones where there were no nearby lichen thalli. Fungal cells were the predominant organisms in areas inhabited by epilithic lichens. The combined use of microscopy and molecular techniques enabled the identification of the different biological components of biofilms found in subsurface layers of the lithic substrate. It is proposed that in this extreme environment, the structure of the biofilm may favour the formation of microsites with specific physicochemical conditions that permit the survival of microbial communities.</t>
  </si>
  <si>
    <t>CSIC, Ctr Ciencias Medioambientales, Madrid 28006, Spain</t>
  </si>
  <si>
    <t>Consejo Superior de Investigaciones Cientificas (CSIC); CSIC - Centro de Ciencias Medioambientales (CCMA)</t>
  </si>
  <si>
    <t>de los Ríos, A (corresponding author), CSIC, Ctr Ciencias Medioambientales, Serrano 115 Dpdo, Madrid 28006, Spain.</t>
  </si>
  <si>
    <t>de los Rios, Asuncion/L-3694-2014; Sancho, leopoldo G./H-2974-2013; Wierzchos, Jacek/F-7036-2011; Ascaso, Carmen/F-5369-2011; SANCHO, LEOPOLDO/G-9120-2015</t>
  </si>
  <si>
    <t>de los Rios, Asuncion/0000-0002-0266-3516; Wierzchos, Jacek/0000-0003-3084-3837; Grube, Martin/0000-0001-6940-5282; Ascaso, Carmen/0000-0001-9665-193X; SANCHO, LEOPOLDO/0000-0002-4751-7475</t>
  </si>
  <si>
    <t>ESA SP PUBL</t>
  </si>
  <si>
    <t>WOS:000182317000045</t>
  </si>
  <si>
    <t>Mamukelashvili, AG; Gilichinsky, DA; Zvyagintsev, DG</t>
  </si>
  <si>
    <t>Life in permafrost: Procaryotes and eucaryotes. How long before?</t>
  </si>
  <si>
    <t>Permafrost sediment of Antarctic and northeastern region of Russian Arctic were investigated on the presence of living organisms and their metabolic products. It is established, that the level of bacterial biomass in frozen sediments, from several thousand to millions of years of age, is only one or two order of magnitude lower, than that in soil. The viable fungal mycelium is absent, but in all frozen Antarctic and Siberia permafrost sediments viable fungal spores are present. This fact enable us make the conclusion, that eucaryotes preserve in their reproduction form under the temperature ut to -30degreesC during millions years. These procaryotes and eucaryotes showed surprising resistance to high temperatures. Many bacterial and fungal strains of Arctic and Antarctic permafrost showed growth on nutrient media after 3h exposition of permafrost samples at 180degreesC. Even after 800degreesC were observed the fragments of biogel of 50-200 nm in size.</t>
  </si>
  <si>
    <t>Moscow MV Lomonosov State Univ, Dept Soil Biol, Moscow 119899, Russia</t>
  </si>
  <si>
    <t>Lomonosov Moscow State University</t>
  </si>
  <si>
    <t>Mamukelashvili, AG (corresponding author), Moscow MV Lomonosov State Univ, Dept Soil Biol, Moscow 119899, Russia.</t>
  </si>
  <si>
    <t>WOS:000182317000058</t>
  </si>
  <si>
    <t>Vishnivetskaya, TA; Vorobyova, EA; Gilichinsky, DA</t>
  </si>
  <si>
    <t>Viable green algae and cyanobacteria within terrestrial permafrost</t>
  </si>
  <si>
    <t>MICROORGANISMS</t>
  </si>
  <si>
    <t>Viable permafrost algae have preserved their morphological characteristics and photosynthetic apparatus for the longest documented period of time on Earth. Unicellular green algae of the order Chlorococcales and filamentous cyanobacteria of the orders Oscillatoriales and Nostocales were isolated from deep subsurface permafrost sediments. Both were discovered within Siberian permafrost from the Holocene up to the Early Pleistocene age. However, green algae were found to be predominant and also able to survive inside colder Antarctic sediments. These findings will have an important impact, on astrobiology and the study of organisms that exist in extreme environments.</t>
  </si>
  <si>
    <t>Russian Acad Sci, Inst Physicochim &amp; Biol Problems Soil Sci, Pushchino 142290, Moscow Region, Russia</t>
  </si>
  <si>
    <t>Russian Academy of Sciences; Pushchino Scientific Center for Biological Research (PSCBI) of the Russian Academy of Sciences; Institute of Physicohemical &amp; Biological Problems of Soil Science</t>
  </si>
  <si>
    <t>Vishnivetskaya, TA (corresponding author), Russian Acad Sci, Inst Physicochim &amp; Biol Problems Soil Sci, Pushchino 142290, Moscow Region, Russia.</t>
  </si>
  <si>
    <t>Tatyana.Vishnivetskaya@mcmail.vanderbilt.edu; lenav@ps.msu.ru; gilichin@issp.serpukhov.su</t>
  </si>
  <si>
    <t>Vishnivetskaya, Tatiana/A-4488-2008; Vorobyova, Elena/ABF-3374-2021</t>
  </si>
  <si>
    <t>Vishnivetskaya, Tatiana/0000-0002-0660-023X; Vorobyova, Elena/0000-0002-4636-9933</t>
  </si>
  <si>
    <t>WOS:000182317000060</t>
  </si>
  <si>
    <t>Timofeev, OY; Krupina, NA</t>
  </si>
  <si>
    <t>Chung, JS; Sayed, M; Kashiwagi, M; Setoguchi, T; Hong, SW</t>
  </si>
  <si>
    <t>Calculation of parameters of local lee loads on data of full scale tests of ice belt structures</t>
  </si>
  <si>
    <t>PROCEEDINGS OF THE TWELFTH (2002) INTERNATIONAL OFFSHORE AND POLAR ENGINEERING CONFERENCE, VOL 1</t>
  </si>
  <si>
    <t>International Offshore and Polar Engineering Conference Proceedings</t>
  </si>
  <si>
    <t>12th International Offshore and Polar Engineering Conference (ISOPE-2002)</t>
  </si>
  <si>
    <t>MAY 26-31, 2002</t>
  </si>
  <si>
    <t>KYUSHU, JAPAN</t>
  </si>
  <si>
    <t>ice load; ice belt structure; full-scale test; calculation</t>
  </si>
  <si>
    <t>During research voyage RN Akademik Fedorov (ULA - ice class) to the area of relative inaccessibility (August - September 2000) there was carried out the strength testing of bow region of ice belt hull structure. The total time of testing is more then 100 hours. The ice conditions along ship route were quite various: from broken old ice to level two years ice. The ship motion regimes also varied in large range: motion behind icebreaker, autonomous navigation in hard ice condition, ramming in ice with thickness up to 3.5 meter. The article contains the description of the method of calculation of ice load based on sensors signals which allows to determine contact load in terms suitable for further using of data for new vessels design, for strength analysis of vessels under operation, for development of requirement for ice belt structures design. The ice load is calculated as an ice pressure distributed in nonlinear symmetrical manner on an rectangular contact zone. The pressure distribution can be described in special case as the uniform distribution, hydrodynamic contact ice hull interaction model or Canadian ice - hull interaction (Mexican hat). The results of calculation are using in addition to statistical model for description of function of ice load parameters from ice condition characteristics. The statistical model of ice loads allows to determine the ice loads parameters of prescribed probability for estimation of the reliability indicators (probability of failure of structure according various criteria, life time of structure) and for the risks analysis of a ship operating in ice.</t>
  </si>
  <si>
    <t>Arctic &amp; Antarctic Res Inst, Dept Ship Performance Ice, St Petersburg, Russia</t>
  </si>
  <si>
    <t>Timofeev, OY (corresponding author), Arctic &amp; Antarctic Res Inst, Dept Ship Performance Ice, St Petersburg, Russia.</t>
  </si>
  <si>
    <t>INTERNATIONAL SOCIETY OFFSHORE&amp; POLAR ENGINEERS</t>
  </si>
  <si>
    <t>CUPERTINO</t>
  </si>
  <si>
    <t>PO BOX 189, CUPERTINO, CA 95015-0189 USA</t>
  </si>
  <si>
    <t>1098-6189</t>
  </si>
  <si>
    <t>1-880653-58-3</t>
  </si>
  <si>
    <t>INT OFFSHORE POLAR E</t>
  </si>
  <si>
    <t>Engineering, Ocean</t>
  </si>
  <si>
    <t>BAO29</t>
  </si>
  <si>
    <t>WOS:000223061800121</t>
  </si>
  <si>
    <t>Benson, SR; Croll, DA; Marinovic, BB; Chavez, FP; Harvey, JT</t>
  </si>
  <si>
    <t>Changes in the cetacean assemblage of a coastal upwelling ecosystem during El Nino 1997-98 and La Nina 1999</t>
  </si>
  <si>
    <t>PROGRESS IN OCEANOGRAPHY</t>
  </si>
  <si>
    <t>Workshop on El Nino Along the West Coast of North America</t>
  </si>
  <si>
    <t>DEC 06-09, 1999</t>
  </si>
  <si>
    <t>MOSS LANDING, CA</t>
  </si>
  <si>
    <t>MONTEREY BAY; CENTRAL CALIFORNIA; POPULATION-STRUCTURE; ANTARCTIC KRILL; ABUNDANCE; WHALES; VARIABILITY; DYNAMICS; GULF; TEMPERATURE</t>
  </si>
  <si>
    <t>We report results of ecosystem studies in Monterey Bay, California, during the summer upwelling periods, 199699, including impacts of El Nino 1997-98 and La Nina 1999. Random-systematic line-transect surveys of marine mammals were conducted monthly from August to November 1996, and from May to November 1997-99. CTDs and zooplankton net tows were conducted opportunistically, and at 10 predetermined locations. Hydroacoustic backscatter was measured continuously while underway to estimate prevalence of zooplankton, with emphasis on euphausiids, a key trophic link between primary production and higher trophic level consumers. The occurrences of several of the California Current's most common cetaceans varied among years. The assemblage of odontocetes became more diverse during the El Nino with a temporary influx of warm-water species. Densities of cold-temperate Dall's porpoise, Phocoenoides dalli, were greatest before the onset of El Nino, whereas warm-temperate common dolphins, Delphinus spp., were present only during the warm-water period associated with El Nino. Rorqual densities decreased in August 1997 as euphausiid backscatter was reduced. In 1998, as euphausiid backscatter slowly increased, rorqual densities increased sharply to the greatest observed values. Euphausiid backscatter further increased in 1999, whereas rorqual densities were similar to those observed during 1998. We hypothesize that a dramatic reduction in zooplankton biomass offshore during El Nino 1997-98 led to the concentration of rorquals in the remaining productive coastal upwelling areas, including Monterey Bay. These patterns exemplify short-term responses of cetaceans to large-scale changes in oceanic conditions. (C) 2002 Elsevier Science Ltd. All rights reserved.</t>
  </si>
  <si>
    <t>Moss Landing Marine Labs, Moss Landing, CA 95039 USA; UC Santa Cruz, Inst Marine Sci, Santa Cruz, CA 95060 USA; Monterey Bay Aquarium Res Inst, Moss Landing, CA 95039 USA</t>
  </si>
  <si>
    <t>Moss Landing Marine Laboratories; University of California System; University of California Santa Cruz; Monterey Bay Aquarium Research Institute</t>
  </si>
  <si>
    <t>Benson, SR (corresponding author), Moss Landing Marine Labs, 8272 Moss Landing Rd, Moss Landing, CA 95039 USA.</t>
  </si>
  <si>
    <t>benson@mlml.calstate.edu</t>
  </si>
  <si>
    <t>0079-6611</t>
  </si>
  <si>
    <t>PROG OCEANOGR</t>
  </si>
  <si>
    <t>Prog. Oceanogr.</t>
  </si>
  <si>
    <t>PII S0079-6611(02)00054-X</t>
  </si>
  <si>
    <t>10.1016/S0079-6611(02)00054-X</t>
  </si>
  <si>
    <t>598ZZ</t>
  </si>
  <si>
    <t>WOS:000178308900015</t>
  </si>
  <si>
    <t>Gillingham, PR</t>
  </si>
  <si>
    <t>An optical design for an Antarctic 2 m telescope with a near IR imager</t>
  </si>
  <si>
    <t>PUBLICATIONS OF THE ASTRONOMICAL SOCIETY OF AUSTRALIA</t>
  </si>
  <si>
    <t>3rd International Conference on Astrophysics at Dome C in Antarctica</t>
  </si>
  <si>
    <t>JUN 28-29, 2001</t>
  </si>
  <si>
    <t>HOBART, AUSTRALIA</t>
  </si>
  <si>
    <t>telescopes; infrared : general; instrumentation : photometers; methods : observational</t>
  </si>
  <si>
    <t>A study has been made of the optical performance to be expected from an Antarctic Ritchey Chretien telescope with a 2 m diameter primary mirror imaging directly onto a detector array in the K and L infrared windows. Near diffraction limited performance is provided across a flat 30 arcmin diameter field by compensating the astigmatism and field curvature with a meniscus lens which also serves as the Dewar window. With baffling inside and Narcissus mirrors outside the Dewar, extraneous radiation can be kept to a low level.</t>
  </si>
  <si>
    <t>Anglo Australian Observ, Epping, NSW 1710, Australia</t>
  </si>
  <si>
    <t>Gillingham, PR (corresponding author), Anglo Australian Observ, POB 296, Epping, NSW 1710, Australia.</t>
  </si>
  <si>
    <t>pg@aaoepp.aoo.gov.au</t>
  </si>
  <si>
    <t>1323-3580</t>
  </si>
  <si>
    <t>1448-6083</t>
  </si>
  <si>
    <t>PUBL ASTRON SOC AUST</t>
  </si>
  <si>
    <t>Publ. Astron. Soc. Aust.</t>
  </si>
  <si>
    <t>10.1071/AS01071</t>
  </si>
  <si>
    <t>619UF</t>
  </si>
  <si>
    <t>WOS:000179495300002</t>
  </si>
  <si>
    <t>Busso, M; Tosti, G; Persi, P; Ferrari-Toniolo, M; Ciprini, S; Corcione, L; Gasparoni, F; Dabalá, M</t>
  </si>
  <si>
    <t>The IRAIT project</t>
  </si>
  <si>
    <t>infrared : general; telescopes; surveys; stars : formation; ISM : clouds : Magellanic; Clouds; stars : AGB and post-AGB</t>
  </si>
  <si>
    <t>GIANT BRANCH STARS; I DARK CLOUD; ISOCAM OBSERVATIONS; ANTARCTIC PLATEAU; DUST SHELLS; MASS-LOSS; CHAMELEON; ENVELOPES; NGC-6334; REGION</t>
  </si>
  <si>
    <t>We present the status of the project IRAIT (the Italian Robotic Antarctic Infrared Telescope) that will be hosted at Dome C in the Italo-French Concordia station. We review the main scientific motivations of the effort, and describe the characteristics of the telescope, which has been completed and is now under test at the Coloti-Montone site operated by the University of Perugia. Then we describe the design of the mid-IR camera that is under construction, showing some examples of the applications on the basis of the twin instrument TIRCAM II, now operating at the Italian Infrared Telescope TIRGO.</t>
  </si>
  <si>
    <t>Osserv Astron Torino, INAF, I-10025 Pino Torinese, Italy; Dipartimento Fis, I-06123 Perugia, Italy; CNR, IAS, I-00100 Rome, Italy; Tecnomare SpA, I-30124 Venice, Italy</t>
  </si>
  <si>
    <t>Istituto Nazionale Astrofisica (INAF); University of Turin; Consiglio Nazionale delle Ricerche (CNR); Istituto per lo Studio degli Impatti Antropici Sostenibilita in Ambiente Marino (IAS-CNR)</t>
  </si>
  <si>
    <t>Busso, M (corresponding author), Osserv Astron Torino, INAF, I-10025 Pino Torinese, Italy.</t>
  </si>
  <si>
    <t>Tosti, Gino/E-9976-2013; Busso, Maurizio Maria/K-7075-2015</t>
  </si>
  <si>
    <t>Tosti, Gino/0000-0002-0839-4126; corcione, leonardo/0000-0002-6497-5881; Ciprini, Stefano/0000-0002-0712-2479; Busso, Maurizio Maria/0000-0001-8944-5820</t>
  </si>
  <si>
    <t>10.1071/AS01076</t>
  </si>
  <si>
    <t>WOS:000179495300003</t>
  </si>
  <si>
    <t>Sironi, G; Battistelli, E; Boella, G; Cavaliere, F; Gervasi, M; Passerini, A; Spiga, D; Zannoni, M</t>
  </si>
  <si>
    <t>Polarimetry of the cosmic microwave background from the Antarctic Plateau</t>
  </si>
  <si>
    <t>instrumentation : polarimeters; cosmology : cosmic microwave background</t>
  </si>
  <si>
    <t>POLARIZATION; RADIATION; ANISOTROPY; SPECTRUM</t>
  </si>
  <si>
    <t>Detection of linear polarisation at a level of 1 ppm or less, associated to the anisotropy of the cosmic microwave background, will confirm the cosmological origin of the observed anisotropy and provide information on the thermal history of the universe between the recombination epoch and now. In particular, detection of polarisation can help in deciding if the evolution of the universe included a reionisation epoch. We present the Mk3 model of our correlation polarimeter, an improved version of a system which has already been used for observations of the region of sky around the South Celestial Pole from Antarctica (in 1994 at Terra Nova Bay and in 1998 at Dome C).</t>
  </si>
  <si>
    <t>Univ Milano Bicocca, Milan, Italy; Univ Milan, Milan, Italy</t>
  </si>
  <si>
    <t>University of Milano-Bicocca; University of Milan</t>
  </si>
  <si>
    <t>Univ Milano Bicocca, Pzza Sci 3, Milan, Italy.</t>
  </si>
  <si>
    <t>Gervasi, Massimo/AAG-7022-2020; Spiga, Daniele/ABB-8842-2021; Zannoni, Mario/H-6391-2017</t>
  </si>
  <si>
    <t>Spiga, Daniele/0000-0003-1163-7843; Zannoni, Mario/0000-0002-4495-571X</t>
  </si>
  <si>
    <t>10.1071/AS01074</t>
  </si>
  <si>
    <t>WOS:000179495300004</t>
  </si>
  <si>
    <t>Lloyd, JP; Oppenheimer, BR; Graham, JR</t>
  </si>
  <si>
    <t>The potential of differential astrometric interferometry from the High Antarctic Plateau</t>
  </si>
  <si>
    <t>instrumentation : interferometers; techniques : interferometric; astrometry; extrasolar planets; Galaxy : halo, stellar content</t>
  </si>
  <si>
    <t>PROJECT</t>
  </si>
  <si>
    <t>The low infrared background and high atmospheric transparency are the principal advantages of Antarctic Plateau sites for astronomy. However, the poor seeing (between 1 and 3 as) negates much of the sensitivity improvements that the Antarctic atmosphere offers, compared to mid-latitude sites such as Mauna Kea or Cerro Paranal. The seeing at mid-latitude sites, though smaller in amplitude, is dominated by turbulence at altitudes of 10-20 km. Over the Antarctic Plateau, virtually no high altitude turbulence is present in the winter. The mean square error for an astrometric measurement with a dual-beam, differential astrometric interferometer in the very narrow angle regime is proportional to the integral of h(2)C(N)(2)(h). Therefore, sites at which the turbulence occurs only at low altitudes offer large gains in astrometric precision. We show that a modest interferometer at the South Pole can achieve 10 mu as differential astrometry 300 times faster than a comparable interferometer at a good mid-latitude site, in median conditions. Science programs that would benefit from such an instrument include planet detection and orbit determination, and astrometric observation of stars microlensed by dark matter candidates.</t>
  </si>
  <si>
    <t>Univ Calif Berkeley, Dept Astron, Berkeley, CA 94720 USA; Amer Museum Nat Hist, Dept Astrophys, New York, NY 10024 USA</t>
  </si>
  <si>
    <t>University of California System; University of California Berkeley; American Museum of Natural History (AMNH)</t>
  </si>
  <si>
    <t>Lloyd, JP (corresponding author), Univ Calif Berkeley, Dept Astron, 601 Campbell Hall, Berkeley, CA 94720 USA.</t>
  </si>
  <si>
    <t>Lloyd, James P/B-3769-2011</t>
  </si>
  <si>
    <t>Oppenheimer, Rebecca/0000-0001-7130-7681</t>
  </si>
  <si>
    <t>10.1071/AS01072</t>
  </si>
  <si>
    <t>WOS:000179495300005</t>
  </si>
  <si>
    <t>Battistelli, E; Zannoni, M; Boella, G; Gervasi, M; Passerini, A; Sironi, G; Andreone, D; Brunetti, L; Lacquaniti, V; Maggi, S; Steni, R; Natale, E; Thorpe, JR</t>
  </si>
  <si>
    <t>MASTER: A triple heterodyne receiver for astronomy in the millimetre and submillimetre domain</t>
  </si>
  <si>
    <t>instrumentation : detectors; ISM : lines and bands; cosmology : cosmic microwave background; submillimetre</t>
  </si>
  <si>
    <t>ANTARCTIC PLATEAU</t>
  </si>
  <si>
    <t>A progress report of the MASTER project is presented here. MASTER is a system of three heterodyne receivers based on SIS (superconductor-insulator-superconductor) tunnel junction mixers. In our instrument these mixers will allow direct down-conversion from 94, 225, and 345 to 1.5 GHz, the IF where the signal will be detected. This instrument, coupled to a 2-4 m telescope like the one proposed for the DOME C base in Antarctica and in conjunction with an Acusto Optical Spectrometer, can be used to detect emission lines associated with molecular clouds in the interstellar medium. The current status of a 94 GHz receiver, the prototype of MASTER, will be presented too. The study of the optical coupling between the receiver and MITO telescope in the Italian Alps will also be described.</t>
  </si>
  <si>
    <t>Univ Milano Bicocca, I-20126 Milan, Italy; Ist Elettrotecnico Nazl Galileo Ferraris, I-10135 Turin, Italy; Osserv Astrofis Arcetri, I-50125 Florence, Italy; Univ Leeds, Dept Elect &amp; Elect Engn, Leeds LS2 9JT, W Yorkshire, England</t>
  </si>
  <si>
    <t>University of Milano-Bicocca; Istituto Nazionale di Ricerca Metrologica (INRIM); Istituto Nazionale Astrofisica (INAF); University of Leeds</t>
  </si>
  <si>
    <t>Battistelli, E (corresponding author), Univ Milano Bicocca, Pzza Sci 3, I-20126 Milan, Italy.</t>
  </si>
  <si>
    <t>Gervasi, Massimo/AAG-7022-2020; Maggi, Sabino/H-5425-2013; Zannoni, Mario/H-6391-2017</t>
  </si>
  <si>
    <t>Maggi, Sabino/0000-0002-1523-6484; Zannoni, Mario/0000-0002-4495-571X</t>
  </si>
  <si>
    <t>10.1071/AS01073</t>
  </si>
  <si>
    <t>WOS:000179495300006</t>
  </si>
  <si>
    <t>Lawrence, JS; Ashley, MCB; Burton, MG; Calisse, PG; Everett, JR; Pernic, RJ; Phillips, A; Storey, JWV</t>
  </si>
  <si>
    <t>Operation of the Near Infrared Sky Monitor at the South Pole</t>
  </si>
  <si>
    <t>atmospheric effects; radiative transfer; site testing; infrared : general</t>
  </si>
  <si>
    <t>BRIGHTNESS; ANTARCTICA; EMISSION; SPECTRUM; LIGHT</t>
  </si>
  <si>
    <t>The near infrared sky spectral brightness has been measured at the South Pole with the Near Infrared Sky Monitor (NISM) throughout the 2001 winter season. The sky is found to be typically more than an order of magnitude darker than at temperate latitude sites, consistent with previous South Pole observations. Reliable robotic operation of the NISM, a low power, autonomous instrument, has been demonstrated throughout the Antarctic winter. Data analysis yields a median winter value of the 2.4 mum (K-dark) sky spectral brightness of similar to120 muJy arcsec(-2) and an average of 210 +/- 80 muJy arcsec(-2). The 75%, 50%, and 25% quartile values are 270 +/- 100, 155 +/- 60, and 80 +/- 30 muJy arcsec(-2), respectively.</t>
  </si>
  <si>
    <t>Univ New S Wales, Sch Phys, Sydney, NSW 2052, Australia; Univ Chicago, Yerkes Observ, Williams Bay, WI 53191 USA</t>
  </si>
  <si>
    <t>University of New South Wales Sydney; University of Chicago</t>
  </si>
  <si>
    <t>Lawrence, JS (corresponding author), Univ New S Wales, Sch Phys, Sydney, NSW 2052, Australia.</t>
  </si>
  <si>
    <t>Ashley, Michael/0000-0003-1412-2028; Lawrence, Jon/0000-0002-6998-6993; Burton, Michael/0000-0001-7289-1998</t>
  </si>
  <si>
    <t>10.1071/AS02020</t>
  </si>
  <si>
    <t>WOS:000179495300007</t>
  </si>
  <si>
    <t>Taylor, F; McMinn, A</t>
  </si>
  <si>
    <t>Late quaternary diatom assemblages from Prydz Bay, Eastern Antarctica</t>
  </si>
  <si>
    <t>QUATERNARY RESEARCH</t>
  </si>
  <si>
    <t>Prydz Bay; Quaternary; diatoms; Thalassiosira antarctica; sea ice</t>
  </si>
  <si>
    <t>SOUTH-SHETLAND-ISLANDS; SEA-ICE EXTENT; ROSS SEA; VESTFOLD HILLS; MCMURDO SOUND; SURFACE SEDIMENTS; PENINSULA; HISTORY; SHELF; LAKE</t>
  </si>
  <si>
    <t>The paleo-depositional environment of inner Prydz Bay, East Antarctica, has been reconstructed for the past 21,320 C-14 yr B.P., using diatom assemblages and sediment facies from a short, 352-cm-long gravity core. Between 21,320 and 11,650 C-14 yr B.P, compact tillite and diamicton are present in the core, and diatom frustules are rare to absent. These data suggest that an ice sheet grounded over the site during the last glacial maximum. Following glacial retreat, siliceous muddy ooze was deposited, from 11,650 to 2600 C-14 yr B.P, in an open marine setting. During this stage, diatom frustules are abundant and well preserved, and Thalassiosira antarctica resting spores and Fragilariopsis curta dominate the assemblage. This assemblage suggests open marine deposition in an environment where the spatial and temporal distribution of sea ice is less than today. Since 2600 C-14 yr B.P, sea-ice and ice-edge diatom species have become more abundant, and neoglacial cooling is inferred. The assemblage is similar to that forming currently in Prydz Bay, where sea ice is absent (&lt;10% cover) for 2-3 months of the year and permanent ice edge and/or multiyear sea ice remains in close proximity to the site. (C) 2002 University of Washington.</t>
  </si>
  <si>
    <t>Antarctic Cooperat Res Ctr, Hobart, Tas 7001, Australia; Inst Antarctic &amp; So Ocean Studies, Hobart, Tas 7001, Australia</t>
  </si>
  <si>
    <t>Antarctic Cooperat Res Ctr, GPO Box 252-80, Hobart, Tas 7001, Australia.</t>
  </si>
  <si>
    <t>Fiona_Taylor72@hotmail.com</t>
  </si>
  <si>
    <t>0033-5894</t>
  </si>
  <si>
    <t>1096-0287</t>
  </si>
  <si>
    <t>QUATERNARY RES</t>
  </si>
  <si>
    <t>Quat. Res.</t>
  </si>
  <si>
    <t>10.1006/qres.2001.2279</t>
  </si>
  <si>
    <t>517WP</t>
  </si>
  <si>
    <t>WOS:000173633700017</t>
  </si>
  <si>
    <t>Anderson, JB; Shipp, SS; Lowe, AL; Wellner, JS; Mosola, AB</t>
  </si>
  <si>
    <t>The Antarctic Ice Sheet during the Last Glacial Maximum and its subsequent retreat history: a review</t>
  </si>
  <si>
    <t>WESTERN ROSS-SEA; LATE PLEISTOCENE; CONTINENTAL-SHELF; MARINE-SEDIMENTS; MELTING HISTORY; VICTORIA LAND; WILKES LAND; WEDDELL SEA; EAST; PENINSULA</t>
  </si>
  <si>
    <t>An emerging body of evidence from studies of the last glacial/interglacial cycle suggests that the East and West Antarctic ice sheets have not advanced and retreated in concert. The West Antarctic ice sheet advanced to the outer shelf in most re dons during the Last Glacial Maximum (LGM). The retreat from the shelf commenced shortly after the LGM and continued into the late Holocene. The West Antarctic Ice Sheet in Ross and Amundsen seas slid across a deforming bed, at least during the final phases of extended glaciation. This implies that at this time the ice sheet had a low profile. Differences in the number and locations of grounding-zone wedges and smaller grounding zone features from trough to trough imply that individual West Antarctic Ice Sheet ice streams retreated episodically. Details concerning the expansion, retreat, and behavior of the East Antarctic Ice Sheet (EAIS) are more sparse. The picture emerging is that the EAIS did not expand to the continental shelf edge during the LGM; rather, it achieved a maximum extent of a mid-shelf position in some locations, while in other areas the ice terminus was situated near its present location. The timing of retreat along sectors within the EAIS appears diachronous, and in places occurred prior to the LGM. The Antarctic Peninsula shelf contained considerably more ice during the LGM than previously proposed. The results presented in this paper support more recent published ice-sheet models that call for greater contributions of melting ice from West Antarctica, including the Antarctic Peninsula, to the post-glacial rise in sea level. (C) 2001 Elsevier Science Ltd. All rights reserved.</t>
  </si>
  <si>
    <t>Rice Univ, Dept Earth Sci, Houston, TX 77251 USA</t>
  </si>
  <si>
    <t>Rice University</t>
  </si>
  <si>
    <t>Rice Univ, Dept Earth Sci, 6100 Main St, Houston, TX 77251 USA.</t>
  </si>
  <si>
    <t>johna@rice.edu</t>
  </si>
  <si>
    <t>IPO, PAGES/JXY-7546-2024; Anderson, John/B-1011-2012</t>
  </si>
  <si>
    <t>10.1016/S0277-3791(01)00083-X</t>
  </si>
  <si>
    <t>508HY</t>
  </si>
  <si>
    <t>WOS:000173083700004</t>
  </si>
  <si>
    <t>Grosswald, MG; Hughes, TJ</t>
  </si>
  <si>
    <t>The Russian component of an Arctic Ice Sheet during the Last Glacial Maximum</t>
  </si>
  <si>
    <t>LATE PLEISTOCENE; WRANGEL-ISLAND; KARA SEA; BARENTS; CLIMATE; EXTENT; HISTORY; WESTERN; CHUKOTKA; SHELF</t>
  </si>
  <si>
    <t>The extent of Late Weichselian glaciation in Arctic Russia remains a problem. Our model of 1995-1998 suggests a continuous and long-lived ice sheet centered on the Kara Sea. Other reconstructions suggest a smaller and diachronous glaciation. The vast majority of dates support the model of restricted glaciation. We show that these dates are inconsistent with the geologic record of ice flow across the Kara-Barents divide, with second-order glacial geology of Kola Peninsula, and with evidence for glacial surges. They are also inconsistent with Late Weichselian climate of the Arctic, with Eurasian continental paleohydrology, including meltwater drainage systems, cataclysmic megafloods, major transgressions of the Caspian Sea, and with the entire paleogeographic context of northern Eurasia. We believe that, due to impeded ventilation of the Pleistocene Arctic Ocean, these dates are often too old, and that recycling and contamination of the samples would also contribute to the dating errors. Destructive impacts of late-glacial ice-sheet surges and megafloods upon the Arctic glacial sequences would also aggravate the situation. By ignoring the dates until these problems are addressed, we find that the field evidence supports continuous glaciation of Arctic Russia at the LGM, and that the resulting ice sheet was part of an Arctic Ice Sheet that included an ice shelf in the Arctic Ocean and ice sheets in Greenland and North America. We present 3-D reconstructions of the Arctic Ice Sheet and, with an enlarged Antarctic Ice Sheet, we show that the ice volume is equivalent to an LGM sea level that was 130-135 m lower than at present. The reconstructions depict the Arctic Ice Sheet before and after massive thawing of the bed that allows partial gravitational collapse of the overlying ice, with a minimal change in ice volume. (C) 2001 Elsevier Science Ltd. All rights reserved.</t>
  </si>
  <si>
    <t>Univ Maine, Dept Geol Sci, Inst Quaternary &amp; Climate Studies, Orono, ME 04469 USA; Russian Acad Sci, Inst Geog, Moscow 109017, Russia</t>
  </si>
  <si>
    <t>University of Maine System; University of Maine Orono; Russian Academy of Sciences; Institute of Geography, Russian Academy of Sciences</t>
  </si>
  <si>
    <t>Univ Maine, Dept Geol Sci, Inst Quaternary &amp; Climate Studies, Orono, ME 04469 USA.</t>
  </si>
  <si>
    <t>mg@gagarinclub.ru; terry.hughes@maine.edu</t>
  </si>
  <si>
    <t>10.1016/S0277-3791(01)00078-6</t>
  </si>
  <si>
    <t>WOS:000173083700009</t>
  </si>
  <si>
    <t>Barrows, TT; Stone, JO; Fifield, LK; Cresswell, RG</t>
  </si>
  <si>
    <t>The timing of the Last Glacial Maximum in Australia</t>
  </si>
  <si>
    <t>COSMOGENIC CL-36 PRODUCTION; WESTERN TASMANIA; VEGETATION; RECORD; SEQUENCE; LAKE</t>
  </si>
  <si>
    <t>Late Pleistocene glaciation of Australia was restricted to the Snowy Mountains and the Tasmanian highlands. Glaciers were most extensive in Tasmania where ice caps formed on the Central Plateau and West Coast Ranges, and systems of valley and cirque glaciers formed on surrounding mountains. To investigate the timing of maximum glacier advance during the Last Glacial Maximum (LGM), we dated boulders on 18 moraines in 8 glaciated areas using cosmogenic Cl-36 and Be-10. We sampled moraines deposited by cirque and valley glaciers, in a range of climate types and lithologies over a 7degrees latitudinal and a 1430 in altitudinal transect. Exposure ages for LGM moraine boulders group tightly in the range 17-20 ka. Boulders from the Hamilton moraine, often treated as the LGM type moraine, range in age from similar to 190-350 ka, indicating that it was deposited well before the last glaciation. Collectively, the exposure ages show that southeastern Australia was glaciated briefly during and after the LGM, and deglaciated well before the Holocene. Ice retreated from the terminal moraines after the period of coldest sea-surface temperatures in the southwest Pacific Ocean. No evidence was found for readvance of glaciers during the Antarctic Cold Reversal or the Younger Dryas period. (C) 2001 Elsevier Science Ltd. All rights reserved.</t>
  </si>
  <si>
    <t>Australian Natl Univ, Res Sch Earth Sci, Canberra, ACT 0200, Australia; Univ Washington, Quaternary Res Ctr, Seattle, WA 98195 USA; Univ Washington, Dept Geol Sci, Seattle, WA 98195 USA; Australian Natl Univ, Dept Phys Nucl, Res Sch Phys Sci &amp; Engn, Canberra, ACT 0200, Australia</t>
  </si>
  <si>
    <t>Australian National University; University of Washington; University of Washington Seattle; University of Washington; University of Washington Seattle; Australian National University</t>
  </si>
  <si>
    <t>Barrows, TT (corresponding author), Australian Natl Univ, Res Sch Earth Sci, Canberra, ACT 0200, Australia.</t>
  </si>
  <si>
    <t>IPO, PAGES/JXY-7546-2024; Barrows, Timothy/A-1428-2008; Cresswell, Richard/AAA-2411-2020; Barrows, Timothy T/E-8471-2011</t>
  </si>
  <si>
    <t>Cresswell, Richard/0000-0002-1629-9479; Fifield, Leslie/0000-0003-2866-4944; Barrows, Timothy T/0000-0003-2614-7177</t>
  </si>
  <si>
    <t>10.1016/S0277-3791(01)00109-3</t>
  </si>
  <si>
    <t>WOS:000173083700011</t>
  </si>
  <si>
    <t>Denton, GH; Hughes, TJ</t>
  </si>
  <si>
    <t>Reconstructing the Antarctic Ice Sheet at the Last Glacial Maximum</t>
  </si>
  <si>
    <t>ROSS SEA; TAYLOR VALLEY; CHRONOLOGY; SENSITIVITY; WISCONSIN; RETREAT; HISTORY; SYSTEM; MODEL</t>
  </si>
  <si>
    <t>A reconstruction of the Antarctic Ice Sheet at the Last Glacial Maximum (LGM), constrained by geologic data, shows expansion across continental shelves accompanied by little inland change. This added peripheral ice volume contributed 14m to the lowering of eustatic sea level at the LGM. Of the total expansion, one-third took place in East Antarctica and two-thirds in West Antarctica. (C) 2001 Elsevier Science Ltd. All rights reserved.</t>
  </si>
  <si>
    <t>Univ Maine, Dept Geol Sci, Inst Quaternary &amp; Climate Studies, Bryand Global Sci Ctr, Orono, ME 04469 USA</t>
  </si>
  <si>
    <t>Univ Maine, Dept Geol Sci, Inst Quaternary &amp; Climate Studies, Bryand Global Sci Ctr, Orono, ME 04469 USA.</t>
  </si>
  <si>
    <t>IPO, PAGES/JXY-7546-2024; Hughes, Thomas J. R./AAL-8013-2020</t>
  </si>
  <si>
    <t>Hughes, Thomas J. R./0000-0001-7024-8368</t>
  </si>
  <si>
    <t>10.1016/S0277-3791(01)00090-7</t>
  </si>
  <si>
    <t>WOS:000173083700013</t>
  </si>
  <si>
    <t>Huybrechts, P</t>
  </si>
  <si>
    <t>Sea-level changes at the LGM from ice-dynamic reconstructions of the Greenland and Antarctic ice sheets during the glacial cycles</t>
  </si>
  <si>
    <t>CIRCULATION BENEATH; EAST GREENLAND; LATE WISCONSIN; CLIMATE-CHANGE; STEADY-STATE; MASS-BALANCE; LAST; HISTORY; CORE; TEMPERATURE</t>
  </si>
  <si>
    <t>New experiments were performed with three-dimensional thermomechanical models of the Greenland and Antarctic ice sheets to simulate their behaviour during the glacial cycles, to reconstruct their thickness and extent at the Last Glacial Maximum (LGM), and to estimate their glacio-eustatic contribution to the global sea-level stand. The calculations used improved ice-dynamic and isostatic treatments, updated datasets on higher grid resolutions, and refined climatic treatments based on newly calibrated transfer functions between ice core records and climatic perturbations. Results are discussed from a reference run with standard parameters that is compared with available glacial-geologlical observations, and from a series of sensitivity experiments focusing on isostatic adjustment, thermomechanical coupling, climatic forcing, mass-balance changes, and basal melting rates and viscosity changes of Antarctic ice shelves. For the Antarctic ice sheet, we find that volume changes are closely linked with grounding line changes of the West Antarctic ice sheet. At the LGM, the grounding line extended close to the continental shelf break almost everywhere. Ice over central East Antarctica was generally thinner than today and varied mainly in accordance with accumulation fluctuations. For the Greenland ice sheet, melting is important only during interglacial periods and the most sensitive period concerns the size of the ice sheet during the Eemian. At the LGM, the Greenland ice sheet extended beyond the present coastline to cover at least the inner continental shelf and thinned by up to several hundred meters in central areas. For a plausible range of parameters, the experiments indicate that at the time of maximum sea-level depression (21 kyr BP), the Antarctic ice sheet contributed 14-18 m to the sea-level lowering, and the Greenland ice sheet 2-3 in, significantly less than the older CLIMAP reconstructions. Whereas both ice sheets were at 21 kyr BP close to their maximum. extent, the experiments also indicate that their maximum volumes were reached only by 16.5 kyr BP (Greenland) and 10 kyr BP (Antarctica), equal to an additional sea-level lowering of, respectively, 0.4 and 3.7 in. Holocene retreat was essentially complete by 5 kyr BP in Greenland, but is found to still continue today in West Antarctica before reversing to growth during the next millenium. The models were found to reproduce gross features of the ice sheet's history since the LGM in reasonably good agreement with available glacial-geological data, although observational control on ice thickness changes remains very limited. (C) 2001 Elsevier Science Ltd. All rights reserved.</t>
  </si>
  <si>
    <t>phuybrechts@awi-bremerhaven.de</t>
  </si>
  <si>
    <t>IPO, PAGES/JXY-7546-2024; Huybrechts, Philippe/J-5278-2013</t>
  </si>
  <si>
    <t>Huybrechts, Philippe/0000-0003-1406-0525</t>
  </si>
  <si>
    <t>10.1016/S0277-3791(01)00082-8</t>
  </si>
  <si>
    <t>WOS:000173083700014</t>
  </si>
  <si>
    <t>Hughes, T</t>
  </si>
  <si>
    <t>Calving bays</t>
  </si>
  <si>
    <t>FRACTURE-MECHANICS APPROACH; WEST GREENLAND; ICE-SHEET; GLACIERS; CREVASSES; PENETRATION; EVENT; WALLS; RATES</t>
  </si>
  <si>
    <t>A mechanism is presented for subaerial calving of ice slabs and subaqueous calving of ice ledges from ice walls and ice shelves in lacustrine and marine glacial environments. The calving rate is equated with the maximum forward velocity of slab-bending at the time of calving. The rate of slab calving above water is shown to control the rate of block calving from ice ledges below water. Slabs theoretically calve along surface crevasses that are at a distance behind the calving front of about one-tenth the subaerial height of the ice wall or ice shelf. Blocks theoretically calve along bottom crevasses when subaqueous ice ledges produced by subaerial slab calving approach one-half of the ice thickness below water. These calculations are supported by studies of a calving ice wall on Deception Island, Antarctica, and by observations of calving from ice walls along the Antarctic Peninsula, from the Ross and Getz Ice Shelves in Antarctica, from large tabular icebergs in the Ross and Amundsen Seas of Antarctica, from Jakobshavns Isbrae in Greenland, and from tidewater glaciers in Alaska, Greenland, and Svalbard. Calving bays accelerate the retreat of Quaternary ice sheets along lacustrine and marine ice margins at the termination of Quaternary glaciation cycles. Rapid calving retreat causes sudden outbursts of icebergs from marine ice streams and meltwater from ice-dammed lakes, events that may trigger abrupt climatic changes. In the case of the Laurentide Ice Sheet, retreat of a calving bay along Hudson Strait would not only be accompanied by an iceberg outburst into the North Atlantic, the calving bay could also continue into Hudson Bay and carve out the heart of the Laurentide Ice Sheet itself, thereby terminating the last cycle of Quaternary glaciations. (C) 2001 Elsevier Science Ltd. All rights reserved.</t>
  </si>
  <si>
    <t>Univ Maine, Inst Quaternary &amp; Climate Studies, Dept Geol Sci, ET Bryand Global Sci Ctr 5790, Orono, ME 04469 USA</t>
  </si>
  <si>
    <t>Hughes, T (corresponding author), Univ Maine, Inst Quaternary &amp; Climate Studies, Dept Geol Sci, ET Bryand Global Sci Ctr 5790, Orono, ME 04469 USA.</t>
  </si>
  <si>
    <t>10.1016/S0277-3791(01)00092-0</t>
  </si>
  <si>
    <t>WOS:000173083700017</t>
  </si>
  <si>
    <t>Duplessy, JC; Labeyrie, L; Waelbroeck, C</t>
  </si>
  <si>
    <t>Constraints on the ocean oxygen isotopic enrichment between the Last Glacial Maximum and the Holocene: Paleoceanographic implications</t>
  </si>
  <si>
    <t>NORTH-ATLANTIC OCEAN; SEA-SURFACE TEMPERATURES; PORE FLUID CONSTRAINTS; DEEP-WATER CIRCULATION; LAURENTIDE ICE SHEET; BENTHIC FORAMINIFERA; CLIMATIC RECORD; ANTARCTIC ICE; THERMOHALINE CIRCULATION; PLEISTOCENE TEMPERATURES</t>
  </si>
  <si>
    <t>We review the various methods which have been applied to estimate the change of seawater delta(18)O (deltaw) between the Last Glacial Maximum (LGM) and the Holocene. The most accurate constraints on these estimates are provided by the measurement of pore waters delta(18)O and by high resolution records of benthic foraminifer delta(18)O in the high latitude oceans of both hemispheres. They show that the delta(18)O of seawater in the deep ocean during the LGM was 1.05+/-0.20parts per thousand heavier than today, with significant regional variations. Constraints resulting from ice sheet models are less accurate, because both the volume and isotopic composition of each ice sheet are still poorly known. The amplitude of the benthic delta(18)O change between the LGM and the Holocene, together with the delta(18)O and delta(13)C values of the benthic foraminifera genus Cibicides during the LGM, show that the Southern Ocean deep waters were extremely cold, close to the freezing point, During this time, deep waters of the South Atlantic and the Pacific oceans were at least 1.3degreesC warmer than those of the Southern Ocean. Overall, the glacial deep ocean, below 2500m, was characterized by extremely cold temperatures, everywhere lower than 0degreesC. delta(18)O values of benthic foraminifer from the North Atlantic are highly variable. This variability suggests that deep Atlantic waters were not homogeneous, probably because they resulted from the sinking of different surface water masses at various locations during winter. The deep waters in the North Atlantic were at most 2degreesC warmer than in Southern Ocean. Alternatively, they could have been nearer the freezing point with a delta(18)O value lighter than the mean ocean water. Brine formation during winter would preserve such light delta(18)O values of the northern North Atlantic surface water. (C) 2001 Elsevier Science Ltd. All rights reserved.</t>
  </si>
  <si>
    <t>CEA, CNRS, Lab Mixte, Lab Sci Climat &amp; Environm, F-91198 Gif Sur Yvette, France</t>
  </si>
  <si>
    <t>Universite Paris Saclay; CEA; Centre National de la Recherche Scientifique (CNRS)</t>
  </si>
  <si>
    <t>Duplessy, JC (corresponding author), CEA, CNRS, Lab Mixte, Lab Sci Climat &amp; Environm, Parc CNRS, F-91198 Gif Sur Yvette, France.</t>
  </si>
  <si>
    <t>jean-claude.duplessy@lsce.cnrs-gif.fr</t>
  </si>
  <si>
    <t>Labeyrie, Laurent Denis/AAV-8405-2021; IPO, PAGES/JXY-7546-2024</t>
  </si>
  <si>
    <t>Labeyrie, Laurent Denis/0000-0002-1554-2449; waelbroeck, claire/0000-0002-7256-5727</t>
  </si>
  <si>
    <t>10.1016/S0277-3791(01)00107-X</t>
  </si>
  <si>
    <t>WOS:000173083700021</t>
  </si>
  <si>
    <t>Shennan, I; Peltier, WR; Drummond, R; Horton, B</t>
  </si>
  <si>
    <t>Global to local scale parameters determining relative sea-level changes and the post-glacial isostatic adjustment of Great Britain</t>
  </si>
  <si>
    <t>LAST GLACIAL MAXIMUM; ICE-SHEET; SCOTLAND; AGE; RECORD; DYNAMICS; EVENT</t>
  </si>
  <si>
    <t>Observations of relative sea-level (RSL) change in Great Britain since 16 kyr BP and models of post-glacial isostatic adjustment provide constraints on reconstructions of the British and Antarctic ice sheets from the Last Glacial Maximum to the present. We use the global model from an earlier investigation, modified ICE-4G (VM2) with lithospheric thickness= 90 km, which gives good RSL fits globally as well as for much of the British data. A revised ice model for Great Britain that fits with recently published observations on ice limits and heights fails to explain all the misfits between RSL observations and predictions. Much more significant improvements result from models that incorporate a different chronology for the partial deglaciation of Antarctica, while keeping the total ice melt, similar to 17 in, the same as in ICE-4G (VM2). The results suggest Antarctic melting of similar to 3 m ice equivalent sea level by 15 kyr BP, only similar to 1 m contribution to the similar to 24 in rise of MWP I a, with the major melting 12-5 kyr BP, and a small amount of melting, 1.0 +/- 0.3 m, between then and 3 or 2 kyr BP. These modifications produce RSL predictions for Barbados that show the major changes in rate of sea level rise, but with an offset up to 1 kyr compared to the observations. Possible explanations that remain to be investigated further are a delay in the melting of ice from some other region, a reduction in the total melt derived from Antarctica, and a refinement of the 1 kyr temporal resolution assumed in the construction of the theoretical solution. (C) 2001 Elsevier Science Ltd. All rights reserved.</t>
  </si>
  <si>
    <t>Univ Durham, Dept Geog, Environm Res Ctr, Durham DH1 3LE, England; Univ Toronto, Dept Phys, Toronto, ON M5S 1A7, Canada</t>
  </si>
  <si>
    <t>Durham University; University of Toronto</t>
  </si>
  <si>
    <t>Univ Durham, Dept Geog, Environm Res Ctr, South Rd, Durham DH1 3LE, England.</t>
  </si>
  <si>
    <t>ian.shennan@durham.ac.uk</t>
  </si>
  <si>
    <t>Peltier, William R./A-1102-2008; Shennan, Ian/A-4612-2011; IPO, PAGES/JXY-7546-2024</t>
  </si>
  <si>
    <t>Horton, Benjamin/0000-0001-9245-3768; Shennan, Ian/0000-0003-3598-0224</t>
  </si>
  <si>
    <t>10.1016/S0277-3791(01)00091-9</t>
  </si>
  <si>
    <t>WOS:000173083700026</t>
  </si>
  <si>
    <t>Tsimako, M; Guffogg, S; Thomas-Hall, S; Watson, K</t>
  </si>
  <si>
    <t>Resistance to UVB radiation in Antarctic yeasts</t>
  </si>
  <si>
    <t>REDOX REPORT</t>
  </si>
  <si>
    <t>Meeting on Redox Processes in Chemistry Biology and Medicine</t>
  </si>
  <si>
    <t>NOV 30-DEC 04, 2001</t>
  </si>
  <si>
    <t>SYDNEY, AUSTRALIA</t>
  </si>
  <si>
    <t>OXIDATIVE STRESS; TOLERANCE</t>
  </si>
  <si>
    <t>Yeast cells were used as a model system to study the inter-relationship among free radicals, antioxidants and UV-induced cell damage. In particular, the effects of UV-radiation in newly isolated yeasts from the Antarctic have been studied.</t>
  </si>
  <si>
    <t>Univ New England, Sch Biol Biomed &amp; Mol Sci, Armidale, NSW 2351, Australia</t>
  </si>
  <si>
    <t>Watson, K (corresponding author), Univ New England, Sch Biol Biomed &amp; Mol Sci, Armidale, NSW 2351, Australia.</t>
  </si>
  <si>
    <t>Thomas-Hall, Skye/0000-0002-4208-5992</t>
  </si>
  <si>
    <t>1351-0002</t>
  </si>
  <si>
    <t>REDOX REP</t>
  </si>
  <si>
    <t>Redox Rep.</t>
  </si>
  <si>
    <t>10.1179/135100002125000866</t>
  </si>
  <si>
    <t>637YR</t>
  </si>
  <si>
    <t>WOS:000180541800014</t>
  </si>
  <si>
    <t>Piacentini, RD; Crino, E; Flores, JS; Ginzburg, M</t>
  </si>
  <si>
    <t>Burrows, JP; Takeucki, N</t>
  </si>
  <si>
    <t>Intercomparison between ground based and TOMS/EP satellite southern hemisphere ozone data. New results</t>
  </si>
  <si>
    <t>REMOTE SENSING OF TRACE CONSTITUENTS IN THE LOWER STRATOSPHERE, TROPOSPHERE AND THE EARTH'S SURFACE: GLOBAL OBSERVATIONS, AIR POLLUTION AND THE ATMOSPHERIC CORRECTION</t>
  </si>
  <si>
    <t>A1 2 Symposium of COSPAR Scientific Commission A held at the 33rd COSPAR Scientific Assembly</t>
  </si>
  <si>
    <t>We present new results of the intercomparison between ozone total column data registered at the Southern Hemisphere with the World Meteorological Organization ground stations of the Southern Cone Ozone Project placed in Uruguay, Argentina and the Antarctic continent, with the Total Ozone Mapping Spectrometer (TOMS) instrument on board the Earth Probe satellite and with the Global Ozone Monitoring Experiment (GOME) instrument on board the Earth Remote Sensing (ERS-2) satellite. At least for the region and period considered, GOME/ERS-2 ozone data gives lower mean systematic relative difference (-1.4 3.2) % than TOMS/EP (4.8 2.7) % with respect to ground spectroradiometers. An analysis of possible causes for the large systematic difference in this last case has been considered: differences with respect to a similar instrument placed in another satellite both measuring the same geophysical variable at different orbits; difference with respect to GOME/ERS-2 satellite measurements in the entire region; possible influence on TOMS data of the difference in reflectivity at the high latitude ice (snow)-sea boundary. (C) 2002 COSPAR. Published by Elsevier Science Ltd. All rights reserved.</t>
  </si>
  <si>
    <t>Univ Nacl Rosario, CONICET, Inst Fis Rosario, RA-2000 Rosario, Argentina; Univ Nacl Rosario, Fac Ciencias Exactas Ingn &amp; Agrimensura, RA-2000 Rosario, Argentina; Univ Nacl San Luis Chacabuco &amp; Pedernera, Dept Fis, RA-5700 San Luis, Argentina; Serv Meteorol Nacl, RA-1002 Buenos Aires, DF, Argentina</t>
  </si>
  <si>
    <t>Consejo Nacional de Investigaciones Cientificas y Tecnicas (CONICET); National University of Rosario; National University of Rosario; Universidad Nacional de San Luis</t>
  </si>
  <si>
    <t>Piacentini, RD (corresponding author), Univ Nacl Rosario, CONICET, Inst Fis Rosario, 27 Febrero 210bis, RA-2000 Rosario, Argentina.</t>
  </si>
  <si>
    <t>PII S0273-1177(02)00122-9</t>
  </si>
  <si>
    <t>10.1016/S0273-1177(02)00122-9</t>
  </si>
  <si>
    <t>BU89H</t>
  </si>
  <si>
    <t>WOS:000177314200007</t>
  </si>
  <si>
    <t>Kamler, E</t>
  </si>
  <si>
    <t>Ontogeny of yolk-feeding fish: an ecological perspective</t>
  </si>
  <si>
    <t>REVIEWS IN FISH BIOLOGY AND FISHERIES</t>
  </si>
  <si>
    <t>embryos; larvae; ontogeny; oxygen; temperature</t>
  </si>
  <si>
    <t>SALMON ONCORHYNCHUS-TSHAWYTSCHA; TEMPERATURE-INDUCED CHANGES; EARLY-LIFE STAGES; EGG SIZE; CLARIAS-GARIEPINUS; EMBRYONIC-DEVELOPMENT; CHONDROSTOMA-NASUS; ATLANTIC SALMON; AFRICAN CATFISH; RAINBOW-TROUT</t>
  </si>
  <si>
    <t>Ontogeny is a continuous process with temporary accelerations. The embryonic period from egg activation to hatching, and the larval period thereafter, are considered. Advances in studies on the ontogeny of yolk-feeding European freshwater and Antarctic marine fish are compared. New techniques and approaches are summarized. A method for exact quantification of the time to any developmental event is recommended. Four attempts to quantify an individual's ontogenetic advancement are reviewed, of which Fuiman's ontogenetic index seems to be the best choice. The relationship between the time to any ontogenetic event (tau, days) and temperature (t, degreesC) has been quantified by exponential, power law, Belehradek's, Leiner's, and polynomial models, whose common weaknesses are that the parameters have no biological meaning, and they do not allow comparison of temperature requirements between species. The ontogenetic rate (V = 1/tau, days(-1)) was well described (r(2) = 0.92 - 1.00) by a straight line V = a + bt (linear model) in 44 fish species over a broad low-mortality temperature range. The linear model produces biologically meaningful parameters: the temperature of biological zero t(0) = a/b, effective temperature t(eff) = t - t(0), and effective day-degrees D(eff)degrees = tau (t - t(0)) = b(-1). From t(0) and D-eff(degrees) the time to any ontogenetic event can be computed as: = D(eff)degrees/(t - t(0)). In coldwater species low t(0) is accompanied by high D(eff)degrees, whereas in warmwater species the opposite is true. The linear model was validated. Day-degrees (D = t) and physiological day-degrees (PDdegrees = taut/q, where q is Winberg's temperature metabolic correction factor) are based on incorrect assumptions. Their use as temperature-independent measures of ontogenetic advancement is not advised; by contrast, effective day-degrees (D(eff)degrees) are temperature-independent and are recommended. The remaining extrinsic factors affecting ontogenetic rate during yolk feeding are: oxygen, salinity, pH, light, dissolved biotic compounds, and anthropogenic factors. The main intrinsic factor is egg size, which positively affects the time to particular ontogenetic steps at inter- and intra-specific levels. Attempts to quantify the combined effects of temperature and salinity, and of temperature and egg size, are reviewed.</t>
  </si>
  <si>
    <t>Inland Fisheries Inst, Pond Fishery Dept, PL-05500 Piaseczno, Poland</t>
  </si>
  <si>
    <t>Kamler, E (corresponding author), Inland Fisheries Inst, Pond Fishery Dept, PL-05500 Piaseczno, Poland.</t>
  </si>
  <si>
    <t>kkamler@cyber.cs.net.pl</t>
  </si>
  <si>
    <t>0960-3166</t>
  </si>
  <si>
    <t>1573-5184</t>
  </si>
  <si>
    <t>REV FISH BIOL FISHER</t>
  </si>
  <si>
    <t>Rev. Fish. Biol. Fish.</t>
  </si>
  <si>
    <t>10.1023/A:1022603204337</t>
  </si>
  <si>
    <t>650XB</t>
  </si>
  <si>
    <t>WOS:000181287900004</t>
  </si>
  <si>
    <t>Nakazawa, T; Aoki, S; Kawamura, K; Saeki, T; Sugawara, S; Honda, H; Hashida, G; Morimoto, S; Yoshida, N; Toyoda, S; Makide, Y; Shirai, T</t>
  </si>
  <si>
    <t>Agrawal, PC; Tueller, J</t>
  </si>
  <si>
    <t>Variations of stratospheric trace gases measured using a balloon-borne cryogenic sampler</t>
  </si>
  <si>
    <t>SCIENTIFIC BALLOONING IN THE NEXT CENTURY: GOALS AND CHALLENGES</t>
  </si>
  <si>
    <t>PSB1 Symposium of the COSPAR Panal on Scientific Ballooning in the Next Century held at the 33rd COSPAR Scientific Assembly</t>
  </si>
  <si>
    <t>JUL 19-21, 2000</t>
  </si>
  <si>
    <t>CARBON ISOTOPIC RATIO; ATMOSPHERIC N2O; NITROUS-OXIDE; DIOXIDE; JAPAN; CO2; ISOTOPOMERS; ANTARCTICA; AIR</t>
  </si>
  <si>
    <t>For a better understanding of the cycles of atmospheric trace gases, me have continued to systematically collect air samples in the stratosphere over Japan since 1985, using a balloon-borne cryogenic sampler. The collection of the stratospheric air samples was also made twice over the Scandinavian Peninsula in 1997 and once over Japanese Antarctic station, Syowa in 1998. The air samples collected were analyzed not only for the concentrations Of CO2, CH4, N2O and various halocarbons but also for their isotopic ratios. These measurements revealed that, in general, the concentrations of all gas components decreased and their isotopic ratios increased with increasing height, due to influence of atmospheric transport and photochemical destruction in the stratosphere. However, detailed inspection of the results indicated that the observed vertical profiles of the respective components were quantitatively different, depending on location and time. Stratospheric CO2 over Japan showed the secular increase with an average rate of 1.4 ppmv/year for the period 1985-1999. (C) 2002 COSPAR. Published by Elsevier Science Ltd. All rights reserved.</t>
  </si>
  <si>
    <t>Tohoku Univ, Ctr Atmospher &amp; Ocean Studies, Sendai, Miyagi 9808578, Japan; Miyagi Univ Educ, Inst Earth Sci, Sendai, Miyagi 9800845, Japan; Inst Space &amp; Astronaut Sci, Sagamihara, Kanagawa 2298510, Japan; Natl Inst Polar Res, Tokyo 1738515, Japan; Tokyo Inst Technol, Dept Environm Sci &amp; Technol, Yokohama, Kanagawa 2268502, Japan; Univ Tokyo, Radioisotope Ctr, Tokyo 1130032, Japan; Natl Space Dev Ctr, Earth Observ Res Ctr, Tokyo 1060032, Japan</t>
  </si>
  <si>
    <t>Tohoku University; Miyagi University Education; Japan Aerospace Exploration Agency (JAXA); Institute of Space &amp; Astronautical Science (ISAS); Research Organization of Information &amp; Systems (ROIS); National Institute of Polar Research (NIPR) - Japan; Tokyo Institute of Technology; University of Tokyo; Japan Aerospace Exploration Agency (JAXA)</t>
  </si>
  <si>
    <t>Nakazawa, T (corresponding author), Tohoku Univ, Ctr Atmospher &amp; Ocean Studies, Sendai, Miyagi 9808578, Japan.</t>
  </si>
  <si>
    <t>Toyoda, Sakae/J-7151-2013; Morimoto, Shinji/GQR-1817-2022; Saeki, Tazu/GNP-1981-2022; Shirai, Tomoko/N-4435-2019; Yoshida, Naohiro/A-8335-2010; Kawamura, Kenji/C-7660-2011</t>
  </si>
  <si>
    <t>Toyoda, Sakae/0000-0003-1624-5910; Saeki, Tazu/0000-0003-1900-1786; Shirai, Tomoko/0000-0002-0841-6866; Yoshida, Naohiro/0000-0003-0454-3849; Kawamura, Kenji/0000-0003-1163-700X</t>
  </si>
  <si>
    <t>PII S0273-1177(02)00551-3</t>
  </si>
  <si>
    <t>10.1016/S0273-1177(02)00551-3</t>
  </si>
  <si>
    <t>BV67N</t>
  </si>
  <si>
    <t>WOS:000179730800035</t>
  </si>
  <si>
    <t>Swinney, GN</t>
  </si>
  <si>
    <t>William Speirs Bruce, the Ben Nevis Observatory, and Antarctic meteorology</t>
  </si>
  <si>
    <t>SCOTTISH GEOGRAPHICAL JOURNAL</t>
  </si>
  <si>
    <t>history; meteorology; Antarctic exploration; Scottish National Antarctic (Scotia) Expedition; Laurie Island</t>
  </si>
  <si>
    <t>Following his participation in an expedition to the Weddell Sea (1892-1893), William Speirs Bruce determined to undertake further polar research and sought training and experience in such techniques and methodologies as might prove useful to him in securing opportunities to participate in future expeditions. During 1895-1896 he worked at the Ben Nevis Observatory gaining experience of meteorological research. The experience he gained in the design and operation of an observatory in a harsh environment he was later to apply when he established an observatory on Laurie Island, South Orkneys. This paper draws on a recently discovered archival source Swinney (2001) to re-examine Bruce's involvement with the Ben Nevis Observatory.</t>
  </si>
  <si>
    <t>Natl Museums Scotland, Dept Geol &amp; Zool, Edinburgh EH1 1JF, Midlothian, Scotland</t>
  </si>
  <si>
    <t>Swinney, GN (corresponding author), Natl Museums Scotland, Dept Geol &amp; Zool, Chambers St, Edinburgh EH1 1JF, Midlothian, Scotland.</t>
  </si>
  <si>
    <t>ROYAL SCOTTISH GEOGRAPH SOC</t>
  </si>
  <si>
    <t>GLASGOW</t>
  </si>
  <si>
    <t>GRAHAM HILLS BUILDING, 40 GEORGE ST, GLASGOW G1 1QE, SCOTLAND</t>
  </si>
  <si>
    <t>0036-9225</t>
  </si>
  <si>
    <t>SCOT GEOGR J</t>
  </si>
  <si>
    <t>Scott. Geogr. J.</t>
  </si>
  <si>
    <t>Geography</t>
  </si>
  <si>
    <t>696HZ</t>
  </si>
  <si>
    <t>WOS:000183882700001</t>
  </si>
  <si>
    <t>Pietrella, M; Perrone, L; Romano, V; Alfonsi, L; Cerrone, M; Rossi, C</t>
  </si>
  <si>
    <t>SawayaLacoste, H</t>
  </si>
  <si>
    <t>Upper atmosphere effects of solar and magnetic perturbations over Antarctica.</t>
  </si>
  <si>
    <t>SOLSPA 2001: PROCEEDINGS OF THE SECOND SOLAR CYCLE AND SPACE WEATHER EUROCONFERENCE</t>
  </si>
  <si>
    <t>2nd Euroconference on Solar Cycle and Space Weather</t>
  </si>
  <si>
    <t>SEP 24-29, 2001</t>
  </si>
  <si>
    <t>VICO EQUENSE, ITALY</t>
  </si>
  <si>
    <t>HIGH-LATITUDE IONOSPHERE; INDEXES</t>
  </si>
  <si>
    <t>Some period of intense solar events and of strong magnetic storms during 1998 are selected and their effects on the Antarctic upper atmosphere are investigated by using ionospheric data and magnetic field measurements in the frequency range 0.001-1 Hz. The results are presented and discussed as depending on strong solar protons emission with energy &gt; 10 MeV and as function of different magnetic indices such as the Polar Cap index (PC) and the time weighted index ap(tau).</t>
  </si>
  <si>
    <t>Ist Nazl Gefisica &amp; Vulcanol, Dept RM2, UF, FAC, I-00143 Rome, Italy</t>
  </si>
  <si>
    <t>Pietrella, M (corresponding author), Ist Nazl Gefisica &amp; Vulcanol, Dept RM2, UF, FAC, Via Vigna Murata 605, I-00143 Rome, Italy.</t>
  </si>
  <si>
    <t>Romano, Vincenzo/HKV-6552-2023</t>
  </si>
  <si>
    <t>Romano, Vincenzo/0000-0002-7532-4507; Alfonsi, Lucilla/0000-0002-1806-9327</t>
  </si>
  <si>
    <t>92-9092-749-6</t>
  </si>
  <si>
    <t>BU85T</t>
  </si>
  <si>
    <t>WOS:000177209900110</t>
  </si>
  <si>
    <t>Barnes, DKA; Dulvy, NK; Priestley, SH; Darwall, WRT; Choisel, V; Whittington, M</t>
  </si>
  <si>
    <t>Fishery characteristics and abundance estimates of the mangrove crab Scylla serrata in southern Tanzania and northern Mocambique</t>
  </si>
  <si>
    <t>SOUTH AFRICAN JOURNAL OF MARINE SCIENCE-SUID-AFRIKAANSE TYDSKRIF VIR SEEWETENSKAP</t>
  </si>
  <si>
    <t>abundance; fisheries; Mocambique; mud crabs; Tanzania</t>
  </si>
  <si>
    <t>MAFIA-ISLAND; RESOURCE USE; MUD CRAB; PORTUNIDAE; MATURITY; FORSKAL; AFRICA; MOZAMBIQUE; MANAGEMENT; BRACHYURA</t>
  </si>
  <si>
    <t>The mud crab Scylla serrata is lightly exploited along the East African seaboard. This study reports on fishing practices and gives preliminary estimates of abundance and size structures of the mud crab populations in Utende, Chole Island and Juani Island, Tanzania, and west of Quirimba and Ibo Island, Mocambique. Estimates for three mangrove habitats (in Tanzania); open channel (&lt;1 per 25 m(2)), mangrove fringe (3 per 25 m(2)) and inner forest (1 per 25 m(2)) were obtained using burrow density and from burrow occupancy from fisheries data. Mud crabs from Tanzania were significantly smaller (carapace width) and less abundant (in terms of mass) than those from Mocambique. This newly exploited resource provides a potential alternative source of income, but local management and monitoring plans need to be implemented early.</t>
  </si>
  <si>
    <t>Natl Univ Ireland Univ Coll Cork, Dept Zool &amp; Anim Ecol, Cork, Ireland</t>
  </si>
  <si>
    <t>Barnes, DKA (corresponding author), British Antarctic Survey, Div Biol Sci, High Cross,Madingley Rd, Cambridge CB3 0ET, England.</t>
  </si>
  <si>
    <t>Dulvy, Nicholas/I-2895-2012</t>
  </si>
  <si>
    <t>Dulvy, Nicholas/0000-0002-4295-9725</t>
  </si>
  <si>
    <t>SEA FISHERIES RESEARCH INST DEPT ENVIRONMENT AFFAIRS</t>
  </si>
  <si>
    <t>CAPE TOWN</t>
  </si>
  <si>
    <t>PRIVATE BAG X2 ROGGE BAY 8012, CAPE TOWN, SOUTH AFRICA</t>
  </si>
  <si>
    <t>0257-7615</t>
  </si>
  <si>
    <t>S AFR J MARINE SCI</t>
  </si>
  <si>
    <t>South Afr. J. Mar. Sci.-Suid-Afr. Tydsk. Seewetens.</t>
  </si>
  <si>
    <t>10.2989/025776102784528312</t>
  </si>
  <si>
    <t>593DB</t>
  </si>
  <si>
    <t>WOS:000177975200003</t>
  </si>
  <si>
    <t>Hofmeyr, GJG; Bester, MN</t>
  </si>
  <si>
    <t>Entanglement of pinnipeds at Marion Island</t>
  </si>
  <si>
    <t>entanglement; marine debris; Marion Island; pinnipeds</t>
  </si>
  <si>
    <t>ANTARCTIC FUR SEALS; MAN-MADE DEBRIS; ELEPHANT SEALS; SOUTH GEORGIA; CALIFORNIA; MOVEMENTS; NET</t>
  </si>
  <si>
    <t>During the period April 1991-March 1996, 10 entangled Antarctic fur seals Arctocephalus gazella, 28 entangled Subantarctic fur seals A. tropicalis and one entangled southern elephant seal Mirounga leonina were observed at Marion Island, Southern Ocean. Entanglement of fur seals was estimated at between 0.01 and 0.15% of the combined population of both species.</t>
  </si>
  <si>
    <t>Univ Pretoria, Dept Zool &amp; Entomol, ZA-0002 Pretoria, South Africa</t>
  </si>
  <si>
    <t>Hofmeyr, GJG (corresponding author), Univ Pretoria, Dept Zool &amp; Entomol, ZA-0002 Pretoria, South Africa.</t>
  </si>
  <si>
    <t>Bester, Marthán N/E-5387-2010; Hofmeyr, G. J. Greg/AAV-3286-2020</t>
  </si>
  <si>
    <t>Hofmeyr, G. J. Greg/0000-0003-0283-6058</t>
  </si>
  <si>
    <t>10.2989/025776102784528295</t>
  </si>
  <si>
    <t>WOS:000177975200033</t>
  </si>
  <si>
    <t>Hall, K</t>
  </si>
  <si>
    <t>Review of Present and Quaternary periglacial processes and landforms of the maritime and sub-Antarctic region</t>
  </si>
  <si>
    <t>SORTED STRIPES; SOUTHERN-OCEAN; GLACIER FLUCTUATIONS; LIVINGSTON ISLAND; FALKLAND ISLANDS; FREEZE-THAW; GLACIATIONS; SEDIMENTS; GEORGIA; EROSION</t>
  </si>
  <si>
    <t>Present and past periglacial processes and landforms of the southern hemisphere are being reviewed as part of a new initiative by the International Permafrost Association. In this paper, details are provided regarding available information pertaining to both the maritime and sub-Antarctic region. All the islands within this broad zone have experienced glaciation during the Quaternary and many still support ice caps, of varying dimensions, today. These islands currently experience strong westerly winds and high precipitation. Temperatures are less severe than on the continent, with lower values to the south of the Antarctic Convergence and higher to the north. All locations, however, experience conditions conducive to active periglacial processes and landforms; some of the more southerly sites exhibit discontinuous permafrost. Three reviews(1-3) have provided a broad outline of information on landforms in the Antarctic region today. The aim here is to give a more up-to-date account, and to review the information regarding relict features that indicate past, more severe, conditions. Although studies in the Antarctic are, in general, less sophisticated than their Arctic or alpine counterparts, there is nevertheless an extensive body of information that is not well known by many northern hemisphere workers. A wide range of landforms are currently active, including sorted patterned ground, protalus ramparts, blockstreams and stone-banked lobes, and those subject to solifluction, cryogenic weathering, and nivation. The strong winds found throughout this region impact significantly upon landform development, particularly the orientation of some features, to a far greater degree than is recorded for the northern hemisphere. Animals also exert a significant influence within the periglacial regime.</t>
  </si>
  <si>
    <t>Univ No British Columbia, Geog Programme, Prince George, BC V2N 4Z9, Canada</t>
  </si>
  <si>
    <t>University of Northern British Columbia</t>
  </si>
  <si>
    <t>Hall, K (corresponding author), Univ No British Columbia, Geog Programme, 3333 Univ Way, Prince George, BC V2N 4Z9, Canada.</t>
  </si>
  <si>
    <t>hall@unbc.ca</t>
  </si>
  <si>
    <t>542DW</t>
  </si>
  <si>
    <t>WOS:000175029100019</t>
  </si>
  <si>
    <t>Bockheim, JG; Hall, KJ</t>
  </si>
  <si>
    <t>Permafrost, active-layer dynamics and periglacial environments of continental Antarctica</t>
  </si>
  <si>
    <t>SOUTHERN VICTORIA LAND; ROCK TEMPERATURES; DRY VALLEYS; REGION; ISLAND; GLACIERS; MIOCENE; PINGOS; SOILS; ICE</t>
  </si>
  <si>
    <t>Active-layer dynamics, permafrost and ground-ice characteristics, and selected periglacial features are summarized from recent published literature and unpublished data by the authors for three eco-climatic regions of continental Antarctica: the Antarctic Peninsula and its offshore islands (c. 61-72degreesS), maritime East Antarctica (c. 66-71degreesS), and the Transantarctic Mountains (c. 71-87degreesC). Active-layer thickness and depth to ice-cemented permafrost are related to regional climate, proximity to glaciers, and albedo of surface rocks. In the McMurdo Dry Valleys, the active layer is commonly underlain by dry permafrost, which can be detected only from frost tubes or temperature measurements. Permafrost thickness ranges from zero near thermally stratified saline lakes in dry valleys and beneath parts of the Antarctic Ice Sheet to similar to1000 m. Permafrost temperature measurements are scant and range between -14 and -24degreesC at a depth of 50 m. Ground ice Is present as rock glaciers along the polar plateau and in upland valleys and as ice-cored moraines, buried glacial ice, and ice wedges near the coast. Cryoplanation and nivation are evident along the Antarctic Peninsula. Recommendations are made for future periglacial work in the region.</t>
  </si>
  <si>
    <t>Univ Wisconsin, Dept Soil Sci, Madison, WI 53706 USA; Univ No British Columbia, Geog Programme, Prince George, BC V2N 4Z9, Canada</t>
  </si>
  <si>
    <t>University of Wisconsin System; University of Wisconsin Madison; University of Northern British Columbia</t>
  </si>
  <si>
    <t>Bockheim, JG (corresponding author), Univ Wisconsin, Dept Soil Sci, 1525 Observatory Dr, Madison, WI 53706 USA.</t>
  </si>
  <si>
    <t>WOS:000175029100020</t>
  </si>
  <si>
    <t>Lovell, JL; Duldig, ML; Humble, JE; Shea, MA; Smart, DF; Flückiger, EO</t>
  </si>
  <si>
    <t>Ijiri, K; Slenzka, K; Kronenberg, A</t>
  </si>
  <si>
    <t>The cosmic ray ground level enhancement of 6 November 1997</t>
  </si>
  <si>
    <t>SPACE LIFE SCIENCES: BIOLOGICAL RESEARCH AND SPACE RADIATION</t>
  </si>
  <si>
    <t>F1 2/F1 3/F1 3/F2 2 and F2 6 Symposia of COSPAR Scientific Commission F, held at the 33rd COSPAR Scientific Assembly</t>
  </si>
  <si>
    <t>MAGNETIC-FIELD</t>
  </si>
  <si>
    <t>The relativistic solar proton event of 6 November 1997 resulted in the first ground-level enhancement (GLE) of solar cycle 23. The earliest onset was around 1215 UT but was up to 15 minutes later at some neutron monitor locations. The time of maximum intensity also varied significantly over the world-wide neutron monitor network. The modeled particle distributions and spectra are presented. The apparent particle arrival direction is found to be largely consistent with propagation outward from the sun along interplanetary magnetic field lines. (C) 2002 COSPAR. Published by Elsevier Science Ltd. All rights reserved.</t>
  </si>
  <si>
    <t>RIKEN, Inst Phys &amp; Chem Res, Wako, Saitama 3510198, Japan; Univ Tasmania, Sch Math &amp; Phys, Hobart, Tas 7001, Australia; Australian Antarctic Div, Kingston, Tas 7050, Australia; AF Res Lab VSBS, Hanscom AFB, Bedford, MA 01731 USA; Univ Bern, Inst Phys, CH-3012 Bern, Switzerland</t>
  </si>
  <si>
    <t>RIKEN; University of Tasmania; Australian Antarctic Division; University of Bern</t>
  </si>
  <si>
    <t>Lovell, JL (corresponding author), CSIRO, Off Space Sci &amp; Applicat, GPO 3023, Canberra, ACT 2601, Australia.</t>
  </si>
  <si>
    <t>Duldig, Marcus/0000-0001-7463-8267</t>
  </si>
  <si>
    <t>PII S0273-1177(02)00496-9</t>
  </si>
  <si>
    <t>10.1016/S0273-1177(02)00496-9</t>
  </si>
  <si>
    <t>BV67M</t>
  </si>
  <si>
    <t>WOS:000179730600048</t>
  </si>
  <si>
    <t>Deeley, KM; Duldig, ML; Humble, JE</t>
  </si>
  <si>
    <t>Re-analysis of the cosmic ray ground level enhancement of 4 May 1960</t>
  </si>
  <si>
    <t>The relativistic solar particle event of 4 May 1960, resulting in a cosmic ray ground level enhancement, occurred well before modem analysis techniques were available. We have located surviving data from 23 neutron monitors and have used these to estimate the spectrum, mean arrival direction and particle pitch angle distribution as the event progressed. We find that the apparent particle arrival direction was at equatorial latitudes, over northern South America, in contrast to contemporary analyses that proposed it to be over North America. Our modified power law spectra are broadly consistent with earlier results. Data from stations above sea level need to be corrected for altitude using a two-attenuation length technique. The standard method involves comparison of data from two relatively close stations at significantly different altitude. We have shown that this method may be unreliable in cases, such as this, of quite sharp anisotropy. (C) 2002 COSPAR. Published by Elsevier Science Ltd. All rights reserved.</t>
  </si>
  <si>
    <t>Univ Tasmania, Sch Math &amp; Phys, Hobart, Tas 7001, Australia; Australian Antarctic Div, Kingston, Tas 7050, Australia</t>
  </si>
  <si>
    <t>Deeley, KM (corresponding author), Univ Tasmania, Sch Math &amp; Phys, GPO Box 252-21, Hobart, Tas 7001, Australia.</t>
  </si>
  <si>
    <t>PII S0273-1177(02)00495-7</t>
  </si>
  <si>
    <t>10.1016/S0273-1177(02)00495-7</t>
  </si>
  <si>
    <t>WOS:000179730600049</t>
  </si>
  <si>
    <t>Sinha, RP; Häder, DP</t>
  </si>
  <si>
    <t>Bernstein, MP; Rettberg, P; Mancinelli, RL; Race, MS</t>
  </si>
  <si>
    <t>Life under solar UV radiation in aquatic organisms</t>
  </si>
  <si>
    <t>SPACE LIFE SCIENCES: EXTRATERRESTRIAL ORGANIC CHEMISTRY, UV RADIATION ON BIOLOGICAL EVOLUTION, AND PLANETARY PROTECTION</t>
  </si>
  <si>
    <t>F3 4(1)-B0 8, F3 1 and F3 5-PPP1 Symposia of COSPAR Scientific Commission F held at the 33rd COSPAR Scientific Assembly</t>
  </si>
  <si>
    <t>JUN, 2000</t>
  </si>
  <si>
    <t>ULTRAVIOLET-B RADIATION; PHOTOSYNTHETIC OXYGEN PRODUCTION; CYANOBACTERIUM NOSTOC COMMUNE; RICE FIELD CYANOBACTERIA; AMINO-ACIDS MAAS; ABSORBING COMPOUNDS; MARINE MACROALGAE; OZONE DEPLETION; ANTARCTIC CYANOBACTERIA; PORPHYRA-UMBILICALIS</t>
  </si>
  <si>
    <t>Aquatic photosynthetic organisms are exposed to solar ultraviolet (UV) radiation while they harvest longer wavelength radiation for energetic reasons. Solar UV-B radiation (280 - 315 mn) affects motility and orientation in motile organisms and impairs photosynthesis in cyanobacteria, phytoplankton and macroalgae as measured by monitoring oxygen production or pulse amplitude modulated fluorescence analysis. Upon moderate UV stress most organisms respond by photoinhibition which is an active downregulation of the photosynthetic electron transport in photosystem II by degradation of UV-damaged D1 protein. Photoinhibition is readily reversible during recovery in shaded conditions. Excessive UV stress causes photodamage which is not easily reversible. Another major target is the DNA where UV-B mainly induces thymine dimers. Cyanobacteria, phytoplankton and macroalgae produce scytonemin, mycosporine-like amino acids and other UV-absorbing substances to protect themselves from short wavelength solar radiation. (C) 2002 COSPAR. Published by Elsevier Science Ltd. All rights reserved.</t>
  </si>
  <si>
    <t>Univ Erlangen Nurnberg, Inst Bot &amp; Pharmazeut Biol, D-91058 Erlangen, Germany</t>
  </si>
  <si>
    <t>University of Erlangen Nuremberg</t>
  </si>
  <si>
    <t>Sinha, RP (corresponding author), Univ Erlangen Nurnberg, Inst Bot &amp; Pharmazeut Biol, Staudtstr 5, D-91058 Erlangen, Germany.</t>
  </si>
  <si>
    <t>Sinha, Rajeshwar/CAC-2606-2022</t>
  </si>
  <si>
    <t>Sinha, Rajeshwar/0000-0002-0112-6161</t>
  </si>
  <si>
    <t>PII S0273-1177(02)00370-8</t>
  </si>
  <si>
    <t>10.1016/S0273-1177(02)00370-8</t>
  </si>
  <si>
    <t>Engineering, Aerospace; Astronomy &amp; Astrophysics; Geosciences, Multidisciplinary; Immunology; Meteorology &amp; Atmospheric Sciences</t>
  </si>
  <si>
    <t>Engineering; Astronomy &amp; Astrophysics; Geology; Immunology; Meteorology &amp; Atmospheric Sciences</t>
  </si>
  <si>
    <t>BV68R</t>
  </si>
  <si>
    <t>WOS:000179771000020</t>
  </si>
  <si>
    <t>Schmider, FX; Fossat, E; Vernin, J; Martin, F; Azouit, M; Agabi, K; Clausse, JM; Grec, G</t>
  </si>
  <si>
    <t>Battrick, B</t>
  </si>
  <si>
    <t>The concordia antarctic station: An opportunity for asteroseismology and planetary search</t>
  </si>
  <si>
    <t>STELLAR STRUCTURE AND HABITABLE PLANET FINDING, PROCEEDINGS</t>
  </si>
  <si>
    <t>1st Eddington Workshop on Stellar Structure and Habitable Planet Finding</t>
  </si>
  <si>
    <t>JUN 11-15, 2001</t>
  </si>
  <si>
    <t>CORDOBA, SPAIN</t>
  </si>
  <si>
    <t>AP STARS; OSCILLATIONS; MODE</t>
  </si>
  <si>
    <t>Interruption in the observations is a main limitation for asteroseismology. It conducted to the development of networks and spacecrafts for asteroseismology as for helioseismology. However, the continuity offered by polar locations has played an historical role in the development of helioseismology, allowing the first measurement of individual mode frequencies (Fossat et al. 1981). Several projects were in the past envisioned for the exploitation of this capability for stellar observations, but none of them were actually developed. From 2004, the permanent antarctic station Concordia, will be running for its first winter season. Located at Dome C, the Franco-Italian station will hold several scientific programs, including glaciology, geophysics, meteorology and astronomy. Continuity of the observations is not the only advantage of the polar station for astronomy. The high altitude, the low temperature and the incredible dryness of the site make it very favorable for sub-mm and far IR observations. The Nice University has already started the qualification of the site in the visible domain. Up to now, no night data has been recorded yet about sky transparency and seeing. However, they are good reasons to expect exceptional conditions. In comparison with South Pole site, the location on a dome provides very quite weather with almost no wind. In consequence, the seeing, mainly dominated at South Pole by ground layer, should be excellent. Moreover, the absence of high altitude jet-stream let expect a scintillation much lower than in any other place. This would allow CCD observations to detect very faint photometric variations as expected for asteroseismology, or planetary detection.</t>
  </si>
  <si>
    <t>Univ Nice, UMR 6525 Astrophys, F-06108 Nice 2, France</t>
  </si>
  <si>
    <t>Universite Cote d'Azur</t>
  </si>
  <si>
    <t>Schmider, FX (corresponding author), Univ Nice, UMR 6525 Astrophys, F-06108 Nice 2, France.</t>
  </si>
  <si>
    <t>Schmider, François-Xavier/C-5435-2012</t>
  </si>
  <si>
    <t>EUROPEAN SPACE AGENCY</t>
  </si>
  <si>
    <t>8-10 RUE MARIO NIKIS, 75738 PARIS, FRANCE</t>
  </si>
  <si>
    <t>92-9092-781-X</t>
  </si>
  <si>
    <t>BU45P</t>
  </si>
  <si>
    <t>WOS:000176018800029</t>
  </si>
  <si>
    <t>Lawrence, JS; Ashley, MCB; Burton, MG; Storey, JWV</t>
  </si>
  <si>
    <t>Tyson, JA; Wolff, S</t>
  </si>
  <si>
    <t>Design and performance of the Douglas Mawson Telescope</t>
  </si>
  <si>
    <t>SURVEY AND OTHER TELESCOPE TECHNOLOGIES AND DISCOVERIES</t>
  </si>
  <si>
    <t>Conference on Survey and Other Telescope Technologies and Discoveries</t>
  </si>
  <si>
    <t>AUG 27-28, 2002</t>
  </si>
  <si>
    <t>astronomical optics; atmospheric turbulence; site testing; Antarctic astronomy; adaptive optics</t>
  </si>
  <si>
    <t>The Douglas Mawson Telescope (DMT) is a proposed 2 m telescope to be situated on the Antarctic plateau. The proposal comes from Australia, and invites participation by other nations, especially those already active in Antarctic astronomy; such as Italy, France and the United States. The DMT will be equipped with instrumentation to perform wide-field imaging from the near to far infrared. Results from an extensive site testing campaign over the last decade indicates that an Antarctic infrared telescope can be one to two orders-of magnitude more sensitive than any other ground based telescope of the same size. The DMT will be an important tool for astrophysical research. It will also be beneficial as a technological test bed for future large (8-10 m class) Antarctic telescopes and interferometers, and for space-based telescopes. This paper analyses the performance of the DMT in terms of the achievable resolution, field-of-view, sensitivity and survey depth and compares it to a similar sized telescope located with the characteristic midlatitude atmosphere of Mauna Kea.</t>
  </si>
  <si>
    <t>Univ New S Wales, Sch Phys, Sydney, NSW 2152, Australia</t>
  </si>
  <si>
    <t>Lawrence, JS (corresponding author), Univ New S Wales, Sch Phys, Sydney, NSW 2152, Australia.</t>
  </si>
  <si>
    <t>jl@phys.unsw.edu.au</t>
  </si>
  <si>
    <t>Ashley, Michael/0000-0003-1412-2028; Burton, Michael/0000-0001-7289-1998; Lawrence, Jon/0000-0002-6998-6993</t>
  </si>
  <si>
    <t>0-8194-4615-7</t>
  </si>
  <si>
    <t>10.1117/12.457000</t>
  </si>
  <si>
    <t>Astronomy &amp; Astrophysics; Instruments &amp; Instrumentation; Optics; Imaging Science &amp; Photographic Technology</t>
  </si>
  <si>
    <t>BV95H</t>
  </si>
  <si>
    <t>WOS:000180513800016</t>
  </si>
  <si>
    <t>Ferrari-Toniolo, M; Epchtein, N; Corcione, L; Marenzi, AR</t>
  </si>
  <si>
    <t>A large infrared survey telescope for Antarctica at Dome C</t>
  </si>
  <si>
    <t>Dome C; Infrared Antarctic Astronomy; Survey Telescope; spatial resolution; observing modes</t>
  </si>
  <si>
    <t>SOUTH-POLE; ASTRONOMY; PROJECT; TIM</t>
  </si>
  <si>
    <t>The first results obtained from the Site Campaigns performed in the last years in different locations of the Antarctic Continent and the acquired experience obtained from the first astronomical IR measures with SPIREX, have in fact opened the way to a present time challenge, about the installation of a large IR Telescope in the best possible site on earth, that will be competitive with the present frontier of ground based and space telescopes in the Infrared range. A project in this context has been submitted to the Italian Plan for Antarctic Research (PNRA), in collaboration with French and Australian colleagues that began to be funded this year. The project entitled A preliminary study for a Large Infrared Telescope at Dome C, will lay the bases for the realization of a non-conventional instrument for the mid-IR domain, suited for the very particular and severe Antarctic situation. In this first paper a general overview is done about the future development plan for the GTA (Grande Telescopio, Antartico), paying attention to the followig themes: Large aperture and low emissivity and high reliability of Antarctic IR telescopes. High resolution and very high sensitivity objectives for a mid-ir Survey Telescope. Non-conventional observing modes for quasi drift-scan measurements.</t>
  </si>
  <si>
    <t>CNR, Ist Astrofis Spaziale &amp; Fis Cosm, Rome, Italy</t>
  </si>
  <si>
    <t>Istituto Nazionale Astrofisica (INAF); Consiglio Nazionale delle Ricerche (CNR)</t>
  </si>
  <si>
    <t>Ferrari-Toniolo, M (corresponding author), CNR, Ist Astrofis Spaziale &amp; Fis Cosm, Rome, Italy.</t>
  </si>
  <si>
    <t>corcione, leonardo/0000-0002-6497-5881</t>
  </si>
  <si>
    <t>10.1117/12.456681</t>
  </si>
  <si>
    <t>WOS:000180513800020</t>
  </si>
  <si>
    <t>Lawrence, JS; Ashley, MCB; Burton, MCG; Storey, JWV</t>
  </si>
  <si>
    <t>Observations of the Antarctic infrared sky spectral brightness</t>
  </si>
  <si>
    <t>Antarctic astronomy; site-testing; radiative transfer; atmospheric effects</t>
  </si>
  <si>
    <t>An important parameter that defines the effectiveness and efficiency of any optical or infrared. sky survey, is the atmospheric character of the observing site. Of prime importance is the sky spectral brightness, which determines the sensitivities and the observing time required to complete a particular survey. This paper presents observations of the near-infrared sky spectral brightness measured at the South Pole throughout the 2001 winter with an automated instrument, the Near Infrared Sky Monitor (NISM). Results from the NISM confirm that the South Pole sky spectral brightness is up to two orders of magnitude lower than at any other ground-based site, consistent with previous observations. These results indicate that the Antarctic plateau is an ideal place to site a future infrared sky survey telescope.</t>
  </si>
  <si>
    <t>Univ New S Wales, Sch Phys, Kensington, NSW 2033, Australia</t>
  </si>
  <si>
    <t>Lawrence, JS (corresponding author), Univ New S Wales, Sch Phys, POB 1, Kensington, NSW 2033, Australia.</t>
  </si>
  <si>
    <t>10.1117/12.456999</t>
  </si>
  <si>
    <t>WOS:000180513800021</t>
  </si>
  <si>
    <t>Botta, O; Bada, JL</t>
  </si>
  <si>
    <t>Extraterrestrial organic compounds in meteorites</t>
  </si>
  <si>
    <t>SURVEYS IN GEOPHYSICS</t>
  </si>
  <si>
    <t>amino acid; astrobiology; interstellar medium; isotope; meteorites; organic chemistry; solar system</t>
  </si>
  <si>
    <t>POLYCYCLIC AROMATIC-HYDROCARBONS; O1 HALE-BOPP; CARBONACEOUS ANTARCTIC MICROMETEORITES; PERFORMANCE LIQUID-CHROMATOGRAPHY; NITROGEN-HETEROCYCLIC COMPOUNDS; INTERPLANETARY DUST PARTICLES; OXYGEN ISOTOPIC COMPOSITION; ENDOGENOUS AMINO-ACIDS; TAGISH LAKE METEORITE; EARLY SOLAR-SYSTEM</t>
  </si>
  <si>
    <t>Many organic compounds or their precursors found in meteorites originated in the interstellar or circumstellar medium and were later incorporated into planetesimals during the formation of the solar system. There they either survived intact or underwent further processing to synthesize secondary products on the meteorite parent body. The most distinct feature of CI and CM carbonaceous chondrites, two types of stony meteorites, is their high carbon content (up to 3% of weight), either in the form of carbonates or of organic compounds. The bulk of the organic carbon consists of an insoluble macromolecular material with a complex structure. Also present is a soluble organic fraction, which has been analyzed by several separation and analytical procedures. Low detection limits can be achieved by derivatization of the organic molecules with reagents that allow for analysis by gas chromatography/mass spectroscopy and high performance liquid chromatography. The CM meteorite Murchison has been found to contain more than 70 extraterrestrial amino acids and several other classes of compounds including carboxylic acids, hydroxy carboxylic acids, sulphonic and phosphonic acids, aliphatic, aromatic and polar hydrocarbons, fullerenes, heterocycles as well as carbonyl compounds, alcohols, amines and amides. The organic matter was found to be enriched in deuterium, and distinct organic compounds show isotopic enrichments of carbon and nitrogen relative to terrestrial matter.</t>
  </si>
  <si>
    <t>Botta, O (corresponding author), Leiden Univ, Leiden Inst Chem, POB 9502, NL-2300 RA Leiden, Netherlands.</t>
  </si>
  <si>
    <t>o.botta@chem.leidenuniv.nl</t>
  </si>
  <si>
    <t>0169-3298</t>
  </si>
  <si>
    <t>SURV GEOPHYS</t>
  </si>
  <si>
    <t>Surv. Geophys.</t>
  </si>
  <si>
    <t>UNSP 396383.oas</t>
  </si>
  <si>
    <t>10.1023/A:1020139302770</t>
  </si>
  <si>
    <t>588WC</t>
  </si>
  <si>
    <t>WOS:000177724300002</t>
  </si>
  <si>
    <t>Nycander, J; Döös, K; Coward, AC</t>
  </si>
  <si>
    <t>Chaotic and regular trajectories in the Antarctic Circumpolar Current</t>
  </si>
  <si>
    <t>MERIDIONAL CELLS; SOUTHERN-OCEAN; EXCHANGE; PACIFIC; MODEL; FLOW</t>
  </si>
  <si>
    <t>Methods from chaos theory are applied to the analysis of the circulation in the Southern Ocean, using velocity fields produced by a realistic global ocean model. We plot the intersections of individual trajectories encircling Antarctica with a vertical plane in the Drake passage. This so-called Poincare section shows a drastic difference between regular trajectories in a core region of the Antarctic Circumpolar Current (ACC), and chaotic, mixing trajectories in the surrounding region. It also shows that there is a region with overturning circulation of approximately 3.5 Sv in the ACC, with downwelling on the northern side and upwelling on the southern side, which may be related to the Deacon cell.</t>
  </si>
  <si>
    <t>Stockholm Univ, Inst Meteorol, S-10691 Stockholm, Sweden; Southampton Oceanog Ctr, Southampton SO14 3ZH, Hants, England</t>
  </si>
  <si>
    <t>Stockholm University; University of Southampton; NERC National Oceanography Centre</t>
  </si>
  <si>
    <t>Nycander, J (corresponding author), Stockholm Univ, Inst Meteorol, S-10691 Stockholm, Sweden.</t>
  </si>
  <si>
    <t>Nycander, Jonas/E-1334-2011; Döös, Kristofer/H-2838-2012</t>
  </si>
  <si>
    <t>Nycander, Jonas/0000-0002-4414-6859; Döös, Kristofer/0000-0002-1309-5921</t>
  </si>
  <si>
    <t>0280-6495</t>
  </si>
  <si>
    <t>10.1034/j.1600-0870.2002.00020.x</t>
  </si>
  <si>
    <t>522RE</t>
  </si>
  <si>
    <t>WOS:000173910100009</t>
  </si>
  <si>
    <t>Moreira, D; López-García, P</t>
  </si>
  <si>
    <t>The molecular ecology of microbial eukaryotes unveils a hidden world</t>
  </si>
  <si>
    <t>TRENDS IN MICROBIOLOGY</t>
  </si>
  <si>
    <t>RNA GENE-SEQUENCE; DEEP-SEA; SP-NOV; OLIGONUCLEOTIDE PROBES; PHYLOGENETIC POSITION; RDNA SEQUENCES; GENOME SIZE; ALGAL CLASS; DIVERSITY; PICOPLANKTON</t>
  </si>
  <si>
    <t>In spite of the great success of small-subunit ribosomal RNA (SSU rRNA)-based studies for the analysis of environmental prokaryotic diversity, this molecular approach has seldom been applied to microbial eukaryotes. Recent molecular surveys of the smallest eukaryotic planktonic fractions at different oceanic surface regions and in deep-sea Antarctic samples revealed an astonishing protist diversity. Many of the phylotypes found in the photic region affiliate with photosynthetic groups that are known to contain picoeukaryotic representatives in the range 1-2 mum. Surprisingly, a vast diversity of presumably heterotrophic or mixotrophic lineages is also found. Among these, several novel lineages of heterokonts, and a large diversity of alveolates clustering in two major groups (Groups I and II), are present at all depths in the water column. Marry of these new phylotypes appear biogeographically ubiquitous. These initial studies suggest that a wide diversity of small eukaryotes remains to be discovered not only in the ocean but also in other environments. For both ecology and evolutionary studies, it is predicted that environmental molecular identification of eukaryotes will have a profound impact in the immediate future.</t>
  </si>
  <si>
    <t>Univ Paris 06, UMR 7622, F-75005 Paris, France</t>
  </si>
  <si>
    <t>Centre National de la Recherche Scientifique (CNRS); CNRS - National Institute for Biology (INSB); Sorbonne Universite</t>
  </si>
  <si>
    <t>Univ Paris 06, UMR 7622, 9 Quai St Bernard, F-75005 Paris, France.</t>
  </si>
  <si>
    <t>david.moreira@snv.jussieu.fr</t>
  </si>
  <si>
    <t>Moreira, David/F-7445-2012; Lopez-Garcia, Purificacion/B-6775-2012</t>
  </si>
  <si>
    <t>Moreira, David/0000-0002-2064-5354; Lopez-Garcia, Purificacion/0000-0002-0927-0651</t>
  </si>
  <si>
    <t>0966-842X</t>
  </si>
  <si>
    <t>1878-4380</t>
  </si>
  <si>
    <t>TRENDS MICROBIOL</t>
  </si>
  <si>
    <t>Trends Microbiol.</t>
  </si>
  <si>
    <t>10.1016/S0966-842X(01)02257-0</t>
  </si>
  <si>
    <t>511ZV</t>
  </si>
  <si>
    <t>WOS:000173297400012</t>
  </si>
  <si>
    <t>Stamnes, K</t>
  </si>
  <si>
    <t>Slusser, JR; Herman, JR; Gao, W</t>
  </si>
  <si>
    <t>Modeling and measurements of UV radiation in the atmosphere-ocean system: A review</t>
  </si>
  <si>
    <t>ULTRAVIOLET GROUND- AND SPACE-BASED MEASUREMENTS, MODELS, AND EFFECTS</t>
  </si>
  <si>
    <t>Conference on Ultraviolet Ground- and Space-based Measurements, Models, and Effects</t>
  </si>
  <si>
    <t>JUL 30-AUG 01, 2001</t>
  </si>
  <si>
    <t>SAN DIEGO, CA</t>
  </si>
  <si>
    <t>ULTRAVIOLET-RADIATION; OZONE DEPLETION</t>
  </si>
  <si>
    <t>A tutorial review is provided of UV radiation transport in the atmosphere-ocean system. Emphasis is placed on the basic physical principles involved rather than on mathematical/numerical aspects. To illustrate the application of the theory the effects of an ozone depletion on UV irradiance at the surface are discussed. A comparison of measured and predicted UV penetration into the ocean under the Antarctic ozone hole is also provided.</t>
  </si>
  <si>
    <t>Stevens Inst Technol, Dept Phys &amp; Engn Phys, Hoboken, NJ 07030 USA</t>
  </si>
  <si>
    <t>Stevens Institute of Technology</t>
  </si>
  <si>
    <t>Stamnes, K (corresponding author), Stevens Inst Technol, Dept Phys &amp; Engn Phys, Hoboken, NJ 07030 USA.</t>
  </si>
  <si>
    <t>0-8194-4196-1</t>
  </si>
  <si>
    <t>UNSP 4482-01</t>
  </si>
  <si>
    <t>10.1117/12.452907</t>
  </si>
  <si>
    <t>Engineering, Aerospace; Instruments &amp; Instrumentation; Remote Sensing</t>
  </si>
  <si>
    <t>Engineering; Instruments &amp; Instrumentation; Remote Sensing</t>
  </si>
  <si>
    <t>BU15F</t>
  </si>
  <si>
    <t>WOS:000175162200001</t>
  </si>
  <si>
    <t>Bernhard, G; Booth, CR; Ehramjian, JC</t>
  </si>
  <si>
    <t>Comparison of measured and modeled spectral ultraviolet irradiance at Antarctic stations used to determine biases in total ozone data from various sources</t>
  </si>
  <si>
    <t>solar ultraviolet radiation; total column ozone; Antarctica; ozone hole</t>
  </si>
  <si>
    <t>WAVELENGTH</t>
  </si>
  <si>
    <t>Global solar UV measurements performed with high-resolution SUV-100 spectroradiometers in Antarctica and Alaska are compared with results of the radiative transfer model UVSPEC/libRadtran. The instruments are part of the National Science Foundation's Office of Polar Programs (NSF/OPP) UV monitoring network, and are located at the South Pole (90degreesS), McMurdo (78degreesS), Palmer Station (65degreesS), and Barrow, Alaska (71degreesN). A new algorithm to retrieve total column ozone from the ratio of measured and modeled UV spectra is presented, which is then used to uncover biases in column ozone data from different sources (Earth Probe TOMS Version 7, Dobson, GOME, TOVS) at the previously mentioned high-latitude locations. The analysis suggest that EP/TOMS overestimates total column ozone at all Antarctic sites by 4-10%, which is consistent with recent findings reported elsewhere. SUV-100 and Dobson total column ozone measurements at the South Pole, Barrow and McMurdo agree to within +/-1.5%, +/-2%, and +/-1%, respectively. GOME measurements at Palmer and McMurdo Station are 2% and 6% lower than the SUV-100 data. TOVS ozone values show in general a larger deviation. The data further reveal that ozone and temperature profiles used in the model have an important influence, particularly at low sun elevations. This is quantified by comparing the UV measurements with model calculations using either standard profiles or actual profiles measured by balloon sondes. When using Dobson ozone measurements and actual ozone profiles, and correcting SUV-100 UV measurements for the cosine error of the entrance optics, spectral clear-sky measurements typically agree with model results to within +/-5% for solar elevations greater than 5degrees.</t>
  </si>
  <si>
    <t>Biospher Inc, San Diego, CA 92110 USA</t>
  </si>
  <si>
    <t>Bernhard, G (corresponding author), Biospher Inc, 5340 Riley St, San Diego, CA 92110 USA.</t>
  </si>
  <si>
    <t>UNSP 4482-12</t>
  </si>
  <si>
    <t>10.1117/12.452910</t>
  </si>
  <si>
    <t>WOS:000175162200011</t>
  </si>
  <si>
    <t>Sasaki, M; Takeshita, S; Oyanagi, T; Miyake, Y; Sakata, T</t>
  </si>
  <si>
    <t>Long-term evaluation of UV-B irradiance in middle-latitude Japan in the 1990s</t>
  </si>
  <si>
    <t>calibration; effective ozone amount; long-term trend; moving average; regression analysis; total ozone amount; total solar irradiance; UV-B irradiance; UV-B radiometer</t>
  </si>
  <si>
    <t>ULTRAVIOLET-RADIATION; OZONE DEPLETION; ANTARCTIC OZONE; 35-DEGREES-N; SURFACE; TRENDS</t>
  </si>
  <si>
    <t>Ground-based global solar ultraviolet-B (UV-B) irradiance has been measured by a narrow band-spectral UV-B radiometer at Tokai University, Hiratsuka (35degrees21' N, 139degrees16' E) Japan for a 10-year period from October 1990 to September 2000. A precise calibration of the UV-B radiometer was periodically performed and the yearly decay sensitivity was found to be - 3.7% of the initial sensitivity. Using this decay rate, the measured UV-B irradiance was corrected, and the long-term trends of the UV-B irradiance were estimated. An increase in the U-V-B irradiance was demonstrated to be 1.57% per year with a seasonal variation correction. and 1.22% per year with global total solar irradiance and the seasonal variation corrections in addition to quasi-biennial oscillation (QBO) correction. A significant, negative correlation was confirmed between the UV-B irradiance normalized by the total solar irradiance and the effective ozone amount ((total ozone amount) xsec theta, where theta is the solar zenith angle) at Tsukuba, the closest ozone amount measuring site. These findings can be supportive evidence for a direct relationship between solar UV-B irradiance and stratospheric ozone amount.</t>
  </si>
  <si>
    <t>Tokai Univ, Res Inst Sci &amp; Technol, Hiratsuka, Kanagawa 2591292, Japan</t>
  </si>
  <si>
    <t>Tokai University</t>
  </si>
  <si>
    <t>Sasaki, M (corresponding author), Tokai Univ, Res Inst Sci &amp; Technol, 1117 Kitakaname, Hiratsuka, Kanagawa 2591292, Japan.</t>
  </si>
  <si>
    <t>UNSP 4482-22</t>
  </si>
  <si>
    <t>10.1117/12.452920</t>
  </si>
  <si>
    <t>WOS:000175162200020</t>
  </si>
  <si>
    <t>Francoeur, SN</t>
  </si>
  <si>
    <t>Francoeur, Steven N.</t>
  </si>
  <si>
    <t>Substratum-Associated Microbiota</t>
  </si>
  <si>
    <t>WATER ENVIRONMENT RESEARCH</t>
  </si>
  <si>
    <t>TARGETED OLIGONUCLEOTIDE PROBES; IN-SITU HYBRIDIZATION; PERIPHYTIC DIATOM ASSEMBLAGES; SOLAR ULTRAVIOLET-RADIATION; SULFATE-REDUCING BACTERIA; COVERED ANTARCTIC LAKES; RIBOSOMAL-RNA GENE; FRESH-WATER; COMMUNITY STRUCTURE; SUBMERGED WOOD</t>
  </si>
  <si>
    <t>Eastern Michigan Univ, Dept Biol, Ypsilanti, MI 48197 USA</t>
  </si>
  <si>
    <t>Eastern Michigan University</t>
  </si>
  <si>
    <t>Francoeur, SN (corresponding author), Eastern Michigan Univ, Dept Biol, 316 Mark Jefferson, Ypsilanti, MI 48197 USA.</t>
  </si>
  <si>
    <t>steve.francoeur@emich.edu</t>
  </si>
  <si>
    <t>1061-4303</t>
  </si>
  <si>
    <t>1554-7531</t>
  </si>
  <si>
    <t>WATER ENVIRON RES</t>
  </si>
  <si>
    <t>Water Environ. Res.</t>
  </si>
  <si>
    <t>10.2175/106143002X140729</t>
  </si>
  <si>
    <t>Engineering, Environmental; Environmental Sciences; Limnology; Water Resources</t>
  </si>
  <si>
    <t>Engineering; Environmental Sciences &amp; Ecology; Marine &amp; Freshwater Biology; Water Resources</t>
  </si>
  <si>
    <t>V19IA</t>
  </si>
  <si>
    <t>WOS:000208064900028</t>
  </si>
  <si>
    <t>Waples, KA; Gales, NJ</t>
  </si>
  <si>
    <t>Evaluating and minimising social stress in the care of captive bottlenose dolphins (Tursiops aduncus)</t>
  </si>
  <si>
    <t>ZOO BIOLOGY</t>
  </si>
  <si>
    <t>aggression; associations; marine park</t>
  </si>
  <si>
    <t>TESTOSTERONE LEVELS; FOOD-INTAKE; TRUNCATUS; BEHAVIOR; CONSEQUENCES; INSTABILITY; DEPRESSION; MOVEMENTS; EVOLUTION; GROWTH</t>
  </si>
  <si>
    <t>Stress can increase an organism's susceptibility to disease. Thus, managing stress and its causes are important elements of captive care. Social factors such as changes in group dynamics, competition over resources, and unstable dominance hierarchies are potential stressors for highly social animals such as bottlenose dolphins (Tursiops sp). We present three case studies of mortality and illness in captive bottlenose dolphins and suggest that stress, resulting from social instability and ensuing aggressive interactions, is likely to have played a role in these health consequences. Stress is implicated by blood profiles, loss of appetite, and gastric ulcers, and social problems and instability are evident in the quantitative analysis of individual activity levels and association patterns. This is a unique study on marine mammals in that it demonstrates a correlation between quantitative behavioral indices and physiological measures of stress and health. Recommendations are made for the management of captive dolphins including regular quantitative assessment of behavior and associations and maintenance of appropriate groupings of age and sex classes. Behavioral records can be an important early indicator of health problems and may also serve as a useful tool for recognizing potentially stressful social changes and circumstances. Zoo Biol 21:5-26,2002. (C) 2002 Wiley-Liss, Inc.</t>
  </si>
  <si>
    <t>Macquarie Univ, Marine Mammal Res Grp, Grad Sch Environm, Sydney, NSW 2109, Australia; Australian Antarctic Div, Kingston, Tas, Australia</t>
  </si>
  <si>
    <t>Macquarie University; Australian Antarctic Division</t>
  </si>
  <si>
    <t>NSW Natl Pk &amp; Wildlife Serv, POB 1967, Hurstville, NSW 2220, Australia.</t>
  </si>
  <si>
    <t>kelly.waples@npws.nsw.gov.au</t>
  </si>
  <si>
    <t>0733-3188</t>
  </si>
  <si>
    <t>1098-2361</t>
  </si>
  <si>
    <t>ZOO BIOL</t>
  </si>
  <si>
    <t>Zoo Biol.</t>
  </si>
  <si>
    <t>10.1002/zoo.10004</t>
  </si>
  <si>
    <t>Veterinary Sciences; Zoology</t>
  </si>
  <si>
    <t>543LD</t>
  </si>
  <si>
    <t>WOS:000175102700002</t>
  </si>
  <si>
    <t>Thorseth, IH; Torsvik, T; Torsvik, V; Daae, FL; Pedersen, RB</t>
  </si>
  <si>
    <t>Keldysh-98 Sci Party</t>
  </si>
  <si>
    <t>Diversity of life in ocean floor basalt</t>
  </si>
  <si>
    <t>oceanic crust; basalts; glasses; microorganisms; alteration; biosphere</t>
  </si>
  <si>
    <t>GRADIENT GEL-ELECTROPHORESIS; 16S RIBOSOMAL-RNA; PHYLOGENETIC-RELATIONSHIPS; MICROBIAL ACTIVITY; GLASS; BACTERIA; ARCHAEA; CRUST; BACTERIOPLANKTON; FRAGMENTS</t>
  </si>
  <si>
    <t>Electron microscopy and biomolecular methods have been used to describe and identify microbial communities inhabiting the glassy margins of ocean floor basalts. The investigated samples were collected from a neovolcanic ridge and from older, sediment-covered lava flows in the rift valley of the Knipovich Ridge at a water depth around 3500 in and an ambient seawater temperature of -0.7degreesC. Successive stages from incipient microbial colonisation, to well-developed biofilms occur on fracture surfaces in the glassy margins. Observed microbial morphologies are various Filamentous, coccoidal, oval, rod-shaped and stalked forms. Etch marks in the fresh glass, with form and size resembling the attached microbes, are common. Precipitation of alteration products around microbes has developed hollow subspherical and filamentous structures. These precipitates are often enriched in Fe and Mn. The presence of branching and twisted stalks that resemble those of the iron-oxidising Gallionella, indicate that reduced iron may be utilised in ail energy metabolic process. Analysis of 16S-rRNA gene sequences from microbes present in the rock samples, show that the bacterial population inhabiting these samples cluster within the gamma- and epsilon-Proteobacteria and the Cytophaga/Flexibacter/Bacteroides subdivision of the Bacteria, while the Archaea all belong to the Crenarchaeota kingdom, This microbial population appears to be characteristic for the rock and their closest relatives have previously been reported from cold marine waters in the Arctic and Antarctic, deep-sea sediments and hydrothermal environments. (C) 2001 Elsevier Science B.V. All rights reserved.</t>
  </si>
  <si>
    <t>Univ Bergen, Dept Geol, N-5007 Bergen, Norway; Univ Bergen, Dept Microbiol, N-5020 Bergen, Norway</t>
  </si>
  <si>
    <t>University of Bergen; University of Bergen</t>
  </si>
  <si>
    <t>Thorseth, IH (corresponding author), Univ Bergen, Dept Geol, Allegt 41, N-5007 Bergen, Norway.</t>
  </si>
  <si>
    <t>Pedersen, Rolf B/A-8405-2013</t>
  </si>
  <si>
    <t>DEC 30</t>
  </si>
  <si>
    <t>10.1016/S0012-821X(01)00537-4</t>
  </si>
  <si>
    <t>515KA</t>
  </si>
  <si>
    <t>WOS:000173493300003</t>
  </si>
  <si>
    <t>Harris, RR</t>
  </si>
  <si>
    <t>South with endurance. Shackleton's Antarctic expedition 1914-1917: The photographs of Frank Hurley</t>
  </si>
  <si>
    <t>NEW YORK TIMES BOOK REVIEW</t>
  </si>
  <si>
    <t>NEW YORK TIMES</t>
  </si>
  <si>
    <t>229 W 43RD ST, NEW YORK, NY 10036-3959 USA</t>
  </si>
  <si>
    <t>0028-7806</t>
  </si>
  <si>
    <t>NY TIMES BK REV</t>
  </si>
  <si>
    <t>N. Y. Times Book Rev.</t>
  </si>
  <si>
    <t>506GZ</t>
  </si>
  <si>
    <t>WOS:000172925200030</t>
  </si>
  <si>
    <t>Arthern, RJ; Wingham, DJ; Ridout, AL</t>
  </si>
  <si>
    <t>Controls on ERS altimeter measurements over ice sheets: Footprint-scale topography, backscatter fluctuations, and the dependence of microwave penetration depth on satellite orientation</t>
  </si>
  <si>
    <t>RADAR ALTIMETRY; SURFACE-PROPERTIES; ELEVATION CHANGE; HEIGHT; MODEL; SNOW; ECHO</t>
  </si>
  <si>
    <t>We consider the reliability of radar altimeter measurements of ice sheet elevation and snowpack properties in the presence of surface undulations. We demonstrate that over ice sheets the common practice of averaging echoes by aligning the first return from the surface at the origin can result in a redistribution of power to later times in the average echo, mimicking the effects of microwave penetration into the snowpack. Algorithms that assume the topography affects the radar echo shape in the same way that waves affect altimeter echoes over the ocean will therefore lead to biased estimates of elevation. This assumption will also cause errors in the retrieval of echo-shape parameters intended to quantify the penetration of the microwave pulse into the snowpack. Using numerical simulations, we estimate the errors in retrievals of extinction coefficient, surface backscatter, and volume backscatter for various undulating topographies. In the flatter portions of the Antarctic plateau, useful estimates of these parameters may be recovered by averaging altimeter echoes recorded by the European Remote Sensing satellite (ERS-1). By numerical deconvolution of the average echoes we resolve the depths in the snowpack at which temporal changes and satellite travel-direction effects occur, both of which have the potential to corrupt measurements of ice sheet elevation change. The temporal changes are isolated in the surface-backscatter cross section, while directional effects are confined to the extinction coefficient and are stable from year to year. This allows the removal of the directional effect from measurement of ice-sheet elevation change.</t>
  </si>
  <si>
    <t>UCL, Dept Space &amp; Climate Phys, London WC1E 6BT, England</t>
  </si>
  <si>
    <t>University of London; University College London</t>
  </si>
  <si>
    <t>rart@bas.ac.uk</t>
  </si>
  <si>
    <t>DEC 27</t>
  </si>
  <si>
    <t>D24</t>
  </si>
  <si>
    <t>10.1029/2001JD000498</t>
  </si>
  <si>
    <t>522DE</t>
  </si>
  <si>
    <t>WOS:000173879800007</t>
  </si>
  <si>
    <t>Rignot, E; Gogineni, S; Joughin, I; Krabill, W</t>
  </si>
  <si>
    <t>Contribution to the glaciology of northern Greenland from satellite radar interferometry</t>
  </si>
  <si>
    <t>HINGE-LINE MIGRATION; ANTARCTIC ICE-SHEET; ENERGY-BALANCE; PETERMANN-GLETSCHER; HIGH-RESOLUTION; MASS-BALANCE; MODEL; FLOW; ABLATION; SENSITIVITY</t>
  </si>
  <si>
    <t>Interferometric synthetic aperture radar (InSAR) data from the ERS-1 and ERS-2 satellites are used to measure the surface velocity, topography, and grounding line position of the major outlet glaciers in the northern sector of the Greenland ice sheet. The mass output of the glaciers at and above the grounding line is determined and compared with the mass input. We find that the grounding line output is approximately in balance I with the input, except for the three largest glaciers for which the mass loss is 4+/-3 km(3) ice year(-1) or 11+/-8% of the mass input. Along the coast we detect a systematic retreat of the grounding lines between 1992 and 1996 with InSAR, which implies that the outlet glaciers are thinning. The inferred coastal thinning is too large to be explained by a few warm summers. Glacier thinning must be of dynamic origin, that is, caused by spatial and temporal changes in ice velocity. Iceberg production from the glaciers is uncharacteristically low. It accounts for only 8% of the ice discharge to the ocean. About 55% of the ice is lost through basal melting (5-8 m ice year(-1) on average) from the underside of the floating glacier tongues that are in contact with warm ocean waters. Mass losses are highest in the first 10 km of floating ice, where ice reaches the greatest depths and basal melting is 3 times larger than on average. Only a small increase in basal melting would suffice to disintegrate the floating glacier tongues.</t>
  </si>
  <si>
    <t>CALTECH, Jet Prop Lab, Pasadena, CA 91109 USA; Univ Kansas, Radar Syst &amp; Remote Sensing Lab, Lawrence, KS 66045 USA; NASA, Goddard Space Flight Ctr, Wallops Facil, Lab Hydrospher Proc, Wallops Isl, VA 23337 USA</t>
  </si>
  <si>
    <t>California Institute of Technology; National Aeronautics &amp; Space Administration (NASA); NASA Jet Propulsion Laboratory (JPL); University of Kansas; National Aeronautics &amp; Space Administration (NASA); NASA Goddard Space Flight Center; Wallops Flight Facility</t>
  </si>
  <si>
    <t>eric@adelie.ipl.nasa.gov</t>
  </si>
  <si>
    <t>Joughin, Ian R/A-2998-2008; Rignot, Eric/A-4560-2014; Joughin, Ian/AAR-7778-2021</t>
  </si>
  <si>
    <t>Joughin, Ian R/0000-0001-6229-679X; Rignot, Eric/0000-0002-3366-0481; Joughin, Ian/0000-0001-6229-679X</t>
  </si>
  <si>
    <t>10.1029/2001JD900071</t>
  </si>
  <si>
    <t>WOS:000173879800047</t>
  </si>
  <si>
    <t>Kiernan, K; McConnell, A</t>
  </si>
  <si>
    <t>Land surface rehabilitation research in Antarctica</t>
  </si>
  <si>
    <t>PROCEEDINGS OF THE LINNEAN SOCIETY OF NEW SOUTH WALES</t>
  </si>
  <si>
    <t>Antarctica; Vestfold Hills; environmental impact; geoenvironment; geoconservation; land rehabilitation</t>
  </si>
  <si>
    <t>SOILS</t>
  </si>
  <si>
    <t>lee-free ground surfaces in the Australian Antarctic Territory are sensitive to damage by artificial disturbance. Natural processes appear generally inadequate to heal the resulting scars over human time scales and substantial ongoing environmental impacts may accrue where melting of subsurface permafrost is triggered. Studies of some rehabilitation projects at sites where significant ground disturbance had been caused during geoscientific research indicate that although specific site conditions are critical to the approach taken, environmental harm can be reduced provided maximum advantage is taken of the opportunities to minimise and manage impact at each of the project design, environmental review, site selection, operational and rehabilitation phases. These sites provide a useful analogy for larger disturbances caused by infrastructure development.</t>
  </si>
  <si>
    <t>Univ Tasmania, Sch Geog &amp; Environm Studies, Hobart, Tas 7005, Australia</t>
  </si>
  <si>
    <t>Kiernan, K (corresponding author), Univ Tasmania, Sch Geog &amp; Environm Studies, Hobart, Tas 7005, Australia.</t>
  </si>
  <si>
    <t>LINNEAN SOC NEW SOUTH WALES</t>
  </si>
  <si>
    <t>NEW SOUTH WALES</t>
  </si>
  <si>
    <t>PO BOX 137, MATRAVILLE, NEW SOUTH WALES, 2036, AUSTRALIA</t>
  </si>
  <si>
    <t>0370-047X</t>
  </si>
  <si>
    <t>P LINN SOC N S W</t>
  </si>
  <si>
    <t>Proc. Linn. Soc. N. S. W.</t>
  </si>
  <si>
    <t>DEC 22</t>
  </si>
  <si>
    <t>525TP</t>
  </si>
  <si>
    <t>WOS:000174087300006</t>
  </si>
  <si>
    <t>Planchon, FAM; Boutron, CF; Barbante, C; Wolff, EW; Cozzi, G; Gaspari, V; Ferrari, CP; Cescon, P</t>
  </si>
  <si>
    <t>Ultrasensitive determination of heavy metals at the sub-picogram per gram level in ultraclean Antarctic snow samples by inductively coupled plasma sector field mass spectrometry</t>
  </si>
  <si>
    <t>heavy metals; Antarctica; snow; inductively coupled plasma sector field mass spectrometry; ultratrace analysis</t>
  </si>
  <si>
    <t>GREENLAND SNOW; LEAD CONCENTRATION; ALPINE SNOW; ICE; RECORD; CADMIUM; ZINC; COPPER; PRECONCENTRATION; HEMISPHERE</t>
  </si>
  <si>
    <t>Assessing changes in heavy metals concentrations in Antarctic snow dated from the last century is of high interest to determine to which extent the most remote regions of our planet are contaminated for these metals, and to have a better understanding into their long-range transport from the different natural and anthropogenic source areas to the Antarctic continent. Such investigations are unfortunately very difficult because the concentrations to be measured are exceedingly low, down to the sub-picogram per gram level. They require a strict control of contamination problems from field sampling to laboratory analysis, and the use of ultrasensitive analytical techniques. We present here important advances in the analytical protocols for obtaining reliable data on the occurrence of heavy metals in Antarctic snow. Utmost precautions were taken to obtain a series of large size ultraclean snow blocks from the wall of a 8.3 m clean hand-dug pit at a remote site in Coats Land, Antarctica. These blocks were then sub-sampled inside a laminar flow clean bench in a cold room, using ultraclean protocols, to provide high-resolution heavy metal times series. V, Cr, Mn, Cu, Ag, Ba, Pb, Bi and U were then determined directly, without any pre-concentration step, by the ultrasensitive inductively coupled plasma sector field mass spectrometry (ICP-SFMS) technique in clean room conditions. Calibration of the instrument was performed using ultralow concentrations standards, and extreme precautions were taken to ensure the cleanliness of the instrument and its introduction system. The results show that it is possible to accurately measure a variety of heavy metals in Antarctic snow, down to the sub-picogram per gram level, using this approach. Examples of the data obtained for the Coats Land site are finally presented. For U, the observed concentrations range from 0.004 to 0.21 pg/g; they are the first data ever obtained for this metal for Antarctic snow and ice. (C) 2001 Elsevier Science B.V All rights reserved.</t>
  </si>
  <si>
    <t>Univ Venice, Dept Environm Sci, I-30123 Venice, Italy; CNRS, Lab Glaciol &amp; Geophys Environm, F-38402 St Martin Dheres, France; Univ Grenoble 1, Inst Univ France, Observ Sci Univers, F-38041 Grenoble, France; Univ Grenoble 1, Inst Univ France, Unite Format &amp; Rech Phys, F-38041 Grenoble, France; Univ Venice, Ctr Studies Environm Chem &amp; Technol, CNR, I-30123 Venice, Italy; British Antarctic Survey, Cambridge CB3 0ET, England; Univ Grenoble 1, Inst Sci &amp; Tech Grenoble, F-38041 Grenoble, France</t>
  </si>
  <si>
    <t>Universita Ca Foscari Venezia; Centre National de la Recherche Scientifique (CNRS); Institut Universitaire de France; Communaute Universite Grenoble Alpes; Universite Grenoble Alpes (UGA); Communaute Universite Grenoble Alpes; Universite Grenoble Alpes (UGA); Institut Universitaire de France; Consiglio Nazionale delle Ricerche (CNR); Universita Ca Foscari Venezia; UK Research &amp; Innovation (UKRI); Natural Environment Research Council (NERC); NERC British Antarctic Survey; Communaute Universite Grenoble Alpes; Universite Grenoble Alpes (UGA)</t>
  </si>
  <si>
    <t>Univ Venice, Dept Environm Sci, Ca Foscari, I-30123 Venice, Italy.</t>
  </si>
  <si>
    <t>Cozzi, Giulio/F-6473-2010; Barbante, Carlo/B-3195-2011; Cozzi, Giulio/R-4554-2019; Frederic, Planchon A.M./A-8651-2010; Wolff, Eric W/D-7925-2014</t>
  </si>
  <si>
    <t>Cozzi, Giulio/0000-0001-8796-4176; Wolff, Eric W/0000-0002-5914-8531; Barbante, Carlo/0000-0003-4177-2288; Cescon, Paolo/0000-0003-1836-6759; Planchon, Frederic/0000-0003-1288-9698</t>
  </si>
  <si>
    <t>1873-4324</t>
  </si>
  <si>
    <t>DEC 21</t>
  </si>
  <si>
    <t>10.1016/S0003-2670(01)01379-4</t>
  </si>
  <si>
    <t>500ZA</t>
  </si>
  <si>
    <t>WOS:000172657500018</t>
  </si>
  <si>
    <t>Bloss, WJ; Nickolaisen, SL; Salawitch, RJ; Friedl, RR; Sander, SP</t>
  </si>
  <si>
    <t>Kinetics of the ClO self-reaction and 210 nm absorption cross section of the ClO dimer</t>
  </si>
  <si>
    <t>ARCTIC POLAR VORTEX; OZONE LOSS RATES; ULTRAVIOLET-SPECTRUM; ANTARCTIC OZONE; TEMPERATURE-DEPENDENCE; VIBRATIONAL-SPECTRA; CHLORINE PEROXIDE; RATE CONSTANTS; 3 ISOMERS; WINTER</t>
  </si>
  <si>
    <t>The kinetics of the dimerization of CIO radicals, CIO + CIO + M --&gt; Cl2O2 + M (1a), and the 210 nm absorption cross sections of the CIO dimer have been studied using the technique of flash photolysis with UV absorption spectroscopy. over the temperature range 183-245 K and pressure range 25-700 Torr. CIO radicals were generated following the photolysis of Cl-2/Cl2O/N-2 mixtures and were quantified,ia their differential absorption between the peak of the (12.0) band of the ((A) over tilde &lt;-- (X) over tilde) transition at 275.2 nm and the adjacent minimum to higher wavelengths, while Cl2O2 formation was simultaneously monitored at 210 rim. CIO differential absorption cross sections were measured under identical conditions to the kinetic experiments by four separate calibration schemes. The rate coefficient measured at the lower temperatures studied (T &lt; 200 K) was found to be up to 40% faster than extrapolation Of previous results would suggest, with the limiting low- and high-pressure rate coefficients for reaction I in nitrogen determined to be k(0) = (1.59 +/- 0.60) x 10(-32) x (T/300)(-4.50 +/-0.98) molecules(-2) cm(6) s(-1) and k(infinity) = (1.36 +/- 0.22) x 10(-12) x (T/300)(-3.09 +/-0.40) molecules(-1) cm(3) s(-1) respectively, obtained with F-c = 0.6. The corresponding value for k(0) in air is k((Matm)) = (1.49 +/- 0.56) x 10(-32) x (T/300)(-4.50 +/-0.98) molecules(-2) cm(6) s(-1). The 210 nm absorption cross section of Cl2O2 was measured following time-resolved monitoring of its formation via CIO radical association, and it mean value of (2.94 +/- 0.86) x 10(-18) molecule(-1) cm(2) obtained, temperature independent (to within +/- 15%) between 183 and 245 K. Errors are combined systematic uncertainties and 2 standard deviations statistical variation.</t>
  </si>
  <si>
    <t>Sander, SP (corresponding author), CALTECH, Jet Prop Lab, 4800 Oak Grove Dr, Pasadena, CA 91109 USA.</t>
  </si>
  <si>
    <t>Salawitch, Ross/B-4605-2009; Bloss, William/N-1305-2014</t>
  </si>
  <si>
    <t>Bloss, William/0000-0002-3017-4461</t>
  </si>
  <si>
    <t>DEC 20</t>
  </si>
  <si>
    <t>10.1021/jp012429y</t>
  </si>
  <si>
    <t>505ZN</t>
  </si>
  <si>
    <t>WOS:000172945600011</t>
  </si>
  <si>
    <t>Cutler, EB; Dean, HK; Saiz-Salinas, JI</t>
  </si>
  <si>
    <t>Sipuncula from Antarctic waters</t>
  </si>
  <si>
    <t>A collection of 3156 Sipuncula from water south of 53 degrees S latitude collected by several American expeditions during 1948-1986, at depths from 1-5790 m yielded 11 species. Only Apionsoma murinae (both subspecies) are new to this region but the known longitudinal ranges of the others are expanded. There is one numerically dominant species in each of the other three,genera: Golfingia margaritacea, Phascolion lutense and Nephasoma diaphanes. Comments on the morphology of each taxon are presented plus a general observation about the deciduous nature of introvert hooks across these four genera. An illustrated key and distribution maps are provided.</t>
  </si>
  <si>
    <t>Museum Comparat Zool, Dept Invertebrate Zool, Cambridge, MA 02138 USA; Univ Basque Country, Dpto Zool &amp; DCA, E-48080 Bilbao, Spain</t>
  </si>
  <si>
    <t>University of Basque Country</t>
  </si>
  <si>
    <t>Cutler, EB (corresponding author), Museum Comparat Zool, Dept Invertebrate Zool, 26 Oxford St, Cambridge, MA 02138 USA.</t>
  </si>
  <si>
    <t>Saiz Salinas, Jose Ignacio/I-5216-2015</t>
  </si>
  <si>
    <t>Saiz Salinas, Jose Ignacio/0000-0002-6245-7589</t>
  </si>
  <si>
    <t>DEC 19</t>
  </si>
  <si>
    <t>506AP</t>
  </si>
  <si>
    <t>WOS:000172948000004</t>
  </si>
  <si>
    <t>Blazewicz-Paszkowycz, M; Heard, RW</t>
  </si>
  <si>
    <t>Observations on Cumacea (Malacostraca: Peracarida) from Antarctic and subantarctic waters.: I.: Ekleptostylis debroyeri (Diastylidae), a new species from waters off the Antarctic Peninsula</t>
  </si>
  <si>
    <t>CRUSTACEA</t>
  </si>
  <si>
    <t>Eighteen species of diastylid cumaceans have been described from Antarctic and subantarctic waters. A nineteenth species, Ekleptostylis ebroyeri, n. sp., was collected in depths of 83 to 530 m off the Antarctic Peninsula. The new species appears to be closely allied to Ekleptostylis heardi McLelland &amp; Meyer, 1998; E. inornata (Hale, 1937), n. comb.; E. pseltdoi-nornata (Ledoyer, 1977); and E. vemae (B (a) over circle cescu-Mester, 1967), all of which are known from subantarctic and Antarctic waters. Ekleptostylis debroyeri is distinguished from these species by a combination of characters including the size of the anterior-most pair of lateral spiniform setae of the telson and the proximal article of the uropodal endopod subequal to the combined length of the two distal most articles. The genera Diastylis Say, 1818, Ekleptostylis Stebbing, 1912, and Leptostylis G. O. Sars, 1869 have morphological features that appear to be transitional, especially among the subadults and females. The generic status of many species within these genera can only be determined with certainty by the morphology (length of antenna, structure of the second pereopod, ornamentation of telson) of the terminal male stage. Although the mature male of E. debroyeri is unknown, it is tentatively placed in Ekleptostylis based on the similarity of the female to other known species of the genus.</t>
  </si>
  <si>
    <t>Univ Lodz, Lab Polar Biol &amp; Oceanobiol, PL-90237 Lodz, Poland; Univ So Mississippi, Dept Coastal Sci, Ocean Springs, MS 39566 USA</t>
  </si>
  <si>
    <t>University of Lodz; University of Southern Mississippi</t>
  </si>
  <si>
    <t>Blazewicz-Paszkowycz, M (corresponding author), Univ Lodz, Lab Polar Biol &amp; Oceanobiol, Pomorska 141, PL-90237 Lodz, Poland.</t>
  </si>
  <si>
    <t>WOS:000172948000008</t>
  </si>
  <si>
    <t>Bintanja, R; Reijmer, CH</t>
  </si>
  <si>
    <t>A simple parameterization for snowdrift sublimation over Antarctic snow surfaces</t>
  </si>
  <si>
    <t>ENERGY BALANCE; BLOWING SNOW; ATMOSPHERIC-TURBULENCE; HEAT-BALANCE; MASS-BALANCE; ANNUAL CYCLE; BLUE ICE; SUSPENSION; HALLEY; BUDGET</t>
  </si>
  <si>
    <t>The surface heat budget at two sites in the escarpment region of Dronning Maud Land, Antarctica, is evaluated using a surface energy balance model that is applied to meteorological data gathered in austral summer 1997-1998. Vertical profile observations indicate that the effective roughness lengths of momentum, and especially heat and moisture, increase with wind speed. This can be attributed to snowdrift, which in turn affects the budgets of heat and moisture through sublimation of airborne particles. The snowdrift-induced increases in effective roughness lengths are parameterized in terms of friction velocity, which are used in the model to estimate the total latent heat flux and the contributions of the surface and snowdrift components of sublimation. Snowdrift sublimation increases strongly with wind speed and compares fairly well with results from a more sophisticated method to estimate snowdrift sublimation. Calculations show that snowdrift sublimation is as large as surface sublimation at one site and significantly larger at the other colder and more windy site. The parameterization may be used in atmospheric models to evaluate more accurately total sublimation rates.</t>
  </si>
  <si>
    <t>Univ Utrecht, Inst Marine &amp; Atmospher Res Utrecht, NL-3508 TA Utrecht, Netherlands</t>
  </si>
  <si>
    <t>Univ Utrecht, Inst Marine &amp; Atmospher Res Utrecht, POB 80005, NL-3508 TA Utrecht, Netherlands.</t>
  </si>
  <si>
    <t>R.Bintanja@phys.uu.nl</t>
  </si>
  <si>
    <t>Reijmer, Carleen H/G-8736-2011</t>
  </si>
  <si>
    <t>Reijmer, Carleen H/0000-0001-8299-3883; Bintanja, Richard/0000-0002-0465-5923</t>
  </si>
  <si>
    <t>DEC 16</t>
  </si>
  <si>
    <t>D23</t>
  </si>
  <si>
    <t>10.1029/2000JD000107</t>
  </si>
  <si>
    <t>515DA</t>
  </si>
  <si>
    <t>WOS:000173479100006</t>
  </si>
  <si>
    <t>Parrenin, F; Jouzel, J; Waelbroeck, C; Ritz, C; Barnola, JM</t>
  </si>
  <si>
    <t>Dating the Vostok ice core by an inverse method</t>
  </si>
  <si>
    <t>PRECIPITATION SEASONALITY; CLIMATE-CHANGE; ANTARCTIC ICE; GREENLAND; RECORD; ISOTOPE; SCALE; CALIBRATION; HEMISPHERE; SUMMIT</t>
  </si>
  <si>
    <t>Using the chronological information available in the Vostok records, we apply an inverse method to assess the quality of the Vostok glaciological timescale. The inversion procedure provides not only an optimized glaciological timescale and its confidence interval but also a reliable estimate of the duration of successive events. Our results highlight a disagreement between orbitally tuned and glaciological timescales below similar to2700 m (i.e., similar to250 kyr B.P., thousands of years before present). This disagreement could be caused by some discontinuity in the spatial variation of accumulation upstream of Vostok. Moreover, the stratigraphic datings of central Greenland ice cores (GRIP and GISP2) appear older than our optimized timescale for the late glacial. This underlines an unconsistency between the physical assumptions used to construct the Vostok glaciological timescale and the stratigraphic datings. The inverse method allows the first assessment of the evolution of the phase between Vostok climatic records and insolation. This phase significantly varies with time which gives a measure of the nonlinear character of the climatic system and suggests that the climatic response to orbital forcing is of different nature for glacial and interglacial periods. We confirm that the last interglacial, as recorded in the Vostok deuterium record, was long (16.2 +/- 2 kyr, thousands of years). However, midtransition of termination 11 occurred at 133.4 +/- 2.5 kyr BP, which does not support the recent claim for an earlier deglaciation. Finally, our study suggests that temperature changes are correctly estimated when using the spatial present-day deuterium-temperature relationship to interpret the Vostok deuterium record.</t>
  </si>
  <si>
    <t>CEA Saclay, IPSL, Lab Sci Climat &amp; Environm, CNRS,UMR 1572, F-91191 Gif Sur Yvette, France; Lab Glaciol &amp; Geophys Environm, Grenoble, France</t>
  </si>
  <si>
    <t>Universite Paris Cite; Universite Paris Saclay; CEA; Centre National de la Recherche Scientifique (CNRS); Communaute Universite Grenoble Alpes; Universite Grenoble Alpes (UGA)</t>
  </si>
  <si>
    <t>CNRS, Lab Glaciol &amp; Geophys Environm, BP 96,Domaine Univ, F-38402 St Martin Dheres, France.</t>
  </si>
  <si>
    <t>parrenin@glaciog.ujf-grenoble.fr; jouzel@lsce.saclay.cea.fr; waelbroeck@lsce.saclay.cea.fr; catritz@glaciog.ujf-grenoble.fr; barnola@glaciog.ujf-grenoble.fr</t>
  </si>
  <si>
    <t>Parrenin, Frédéric/H-3054-2014</t>
  </si>
  <si>
    <t>Parrenin, Frédéric/0000-0002-9489-3991; Ritz, Catherine/0000-0003-0785-8571; waelbroeck, claire/0000-0002-7256-5727</t>
  </si>
  <si>
    <t>10.1029/2001JD900245</t>
  </si>
  <si>
    <t>WOS:000173479100015</t>
  </si>
  <si>
    <t>Landwehr, JM; Winograd, IJ</t>
  </si>
  <si>
    <t>Dating the Vostok ice core record by importing the Devils Hole chronology</t>
  </si>
  <si>
    <t>ANTARCTIC PRECIPITATION; CLIMATE-CHANGE; ISOTOPE; ORIGIN; GREENLAND; CALCITE; MARINE</t>
  </si>
  <si>
    <t>The development of an accurate chronology for the Vostok record continues to be an open research question because these invaluable ice cores cannot be dated directly. Depth-to-age relationships have been developed using many different approaches, but published age estimates are inconsistent, even for major paleoclimatic events. We have developed a chronology for the Vostok deuterium paleotemperature record using a simple and objective algorithm to transfer ages of major paleoclimatic events from the radiometrically dated 500,000-year delta(18)O-paleotemperature record from Devils Hole, Nevada. The method is based only on a strong inference that major shifts in paleotemperature recorded at both locations occurred synchronously, consistent with an atmospheric teleconnection. The derived depth-to-age relationship conforms with the physics of ice compaction, and internally produces ages for climatic events 5.4 and 11.24 which are consistent with the externally assigned ages that the Vostok team needed to assume in order to derive their most recent chronology, GT4. Indeed, the resulting V-DH chronology is highly correlated with GT4 because of the unexpected correspondence even in the timing of second-order climatic events that were not constrained by the algorithm. Furthermore, the algorithm developed herein is not specific to this problem; rather, the procedure can be used whenever two paleoclimate records are proxies for the same physical phenomenon, and paleoclimatic conditions forcing the two records can be considered to have occurred contemporaneously. The ability of the algorithm to date the East Antarctic Dome Fuji core is also demonstrated.</t>
  </si>
  <si>
    <t>US Geol Survey, Natl Ctr, Reston, VA 20192 USA</t>
  </si>
  <si>
    <t>Landwehr, JM (corresponding author), US Geol Survey, Natl Ctr, MS431, Reston, VA 20192 USA.</t>
  </si>
  <si>
    <t>mjlandwe@usgs.gov; ijwinogr@usgs.gov</t>
  </si>
  <si>
    <t>10.1029/2001JD900065</t>
  </si>
  <si>
    <t>WOS:000173479100016</t>
  </si>
  <si>
    <t>Pépin, L; Raynaud, D; Barnola, JM; Loutre, MF</t>
  </si>
  <si>
    <t>Hemispheric roles of climate forcings during glacial-interglacial transitions as deduced from the Vostok record and LLN-2D model experiments</t>
  </si>
  <si>
    <t>ICE SHEET MODEL; SEA-LEVEL; ATMOSPHERIC CO2; CORE RECORD; CYCLE; DEGLACIATION; SENSITIVITY; TERMINATION; SIMULATION; INSOLATION</t>
  </si>
  <si>
    <t>The Vostok ice contains fingerprints of atmospheric greenhouse trace gases, Antarctic temperature, Northern Hemisphere temperature, and global ice volume/sea level changes during the last glacial-interglacial cycles and thus allows us to investigate the sequences of these climatic events, in particular during the transitions from full glacial to interglacial conditions. The use of the updated CO2 record presented here and a reexamination of the sea level proxy confirm that the succession of changes has been similar through each of the four marked transitions found at Vostok. Antarctic air temperature and CO2 increase in parallel and almost synchronously, while the rapid warmings over Greenland take place during the last half of their change and coincide with the marked decay in continental ice volume. The Vostok results thus emphasize a fundamental difference between South and North in terms of climate dynamics. Our results confirm the role Of CO2 as an important amplifier of the glacial-interglacial warming in the South. It appears also that the marked warming observed at high northern latitudes (lagging behind the CO2 increase by several thousand years) is roughly synchronous with the decay of the northern ice sheets, suggesting a major role of climatic feedback due to this decay. Such a climatic scenario is supported by sensitivity experiments performed with the LLN 2-D model forced by the Northern Hemisphere insolation and CO2. Model results indicate that the decay of the northern ice sheets and the Northern Hemisphere temperature depend primarily on the northern summer insolation. These results, nevertheless, could be affected if mechanisms specific to the Southern Hemisphere appear to play a major role in driving the Northern Hemisphere climate. The model also helps to constrain the time response of ice volume to insolation and CO2 changes.</t>
  </si>
  <si>
    <t>Lab Glaciol &amp; Geophys Environm, F-38402 St Martin Dheres, France</t>
  </si>
  <si>
    <t>Pépin, L (corresponding author), Lab Glaciol &amp; Geophys Environm, Domaine Univ,BP 96, F-38402 St Martin Dheres, France.</t>
  </si>
  <si>
    <t>domraynaud@glaciog.ujf-grenoble.fr</t>
  </si>
  <si>
    <t>Raynaud, Dominique/H-9626-2016; raynaud, dominique/ABG-4718-2020; Loutre, Marie-France/L-3594-2018</t>
  </si>
  <si>
    <t>Loutre, Marie-France/0000-0001-6944-4038</t>
  </si>
  <si>
    <t>10.1029/2001JD900117</t>
  </si>
  <si>
    <t>WOS:000173479100019</t>
  </si>
  <si>
    <t>Caillon, N; Severinghaus, JP; Barnola, JM; Chappellaz, J; Jouzel, J; Parrenin, F</t>
  </si>
  <si>
    <t>Estimation of temperature change and of gas age ice age difference, 108 kyr BP, at Vostok, Antarctica</t>
  </si>
  <si>
    <t>ABRUPT CLIMATE-CHANGE; ISOTOPIC COMPOSITION; POLAR ICE; CORE; PRECIPITATION; ORIGIN; RECORD; AIR; PALEOTHERMOMETER; VALIDITY</t>
  </si>
  <si>
    <t>Air trapped in ice core bubbles provides our primary source of information about past atmospheres. Air isotopic composition (N-15/N-14 and Ar-40/Ar-36) permits an estimate of the temperature shifts associated with abrupt climate changes because of isotope fractionation occurring in response to temperature gradients in the snow layer on top of polar ice sheets. A rapid surface temperature change modifies temporarily the firn temperature gradient, which causes a detectable anomaly in the isotopic composition of nitrogen and argon. The location of this anomaly in depth characterizes the gas age - ice age difference (Deltaage) during an abrupt,Gwent by correlation with the deltaD (or 5180) anomaly in the ice. We focus this study on the marine isotope stage 5d/5c transition (108 kyr B.P.), a climate warming which was one of the most abrupt events in the Vostok (Antarctica) ice isotopic record [Petit et al., 1999]. A step-like decrease in delta(15)N and delta(40)Ar/4 from 0.49 to 0.47 parts per thousand (possibly a gravitational signal due to a change in firn thickness) is preceded by a small but detectable delta(15)N peak (possibly a thermal diffusion signal). We obtain an estimate of 5350 +/- 300 yr for Deltaage, close to the model estimate of 5000 years obtained using the Vostok glaciological timescale. Our results also suggest that the use of the present-day spatial isotope-temperature relationship slightly underestimates (but by no more than 20 +/- 15%) the Vostok temperature change from present day at that time, which is in contrast to the temperature estimate based on borehole temperature measurements in Vostok which suggests that Antarctic temperature changes are underestimated by up to 50%.</t>
  </si>
  <si>
    <t>CEA Saclay, Lab Sci Climat &amp; Environm, IPSL, CNRS,UMR 1572,CEA, F-91191 Gif Sur Yvette, France; Univ Calif San Diego, Scripps Inst Oceanog, La Jolla, CA 92093 USA; CNRS, Lab Glaciol &amp; Geophys Environm, F-38402 St Martin Dheres, France</t>
  </si>
  <si>
    <t>Universite Paris Saclay; CEA; Centre National de la Recherche Scientifique (CNRS); Universite Paris Cite; University of California System; University of California San Diego; Scripps Institution of Oceanography; Centre National de la Recherche Scientifique (CNRS)</t>
  </si>
  <si>
    <t>CEA Saclay, Lab Sci Climat &amp; Environm, IPSL, CNRS,UMR 1572,CEA, Orme Merisiers, F-91191 Gif Sur Yvette, France.</t>
  </si>
  <si>
    <t>caillon@lsce.saclay.cea.fr</t>
  </si>
  <si>
    <t>Chappellaz, Jérôme A./A-4872-2011; Parrenin, Frédéric/H-3054-2014; Caillon, Nicolas/B-7127-2019</t>
  </si>
  <si>
    <t>Parrenin, Frédéric/0000-0002-9489-3991; Caillon, Nicolas/0000-0002-6318-6194</t>
  </si>
  <si>
    <t>10.1029/2001JD900145</t>
  </si>
  <si>
    <t>WOS:000173479100020</t>
  </si>
  <si>
    <t>Basile, I; Petit, JR; Touron, S; Grousset, FE; Barkov, N</t>
  </si>
  <si>
    <t>Volcanic layers in Antarctic (Vostok) ice cores: Source identification and atmospheric implications</t>
  </si>
  <si>
    <t>MARIE BYRD LAND; TEPHRA LAYERS; DOME-C; NORTH-ISLAND; EVOLUTION; STATION; RECORD; SR; GEOCHEMISTRY; CLIMATE</t>
  </si>
  <si>
    <t>Fifteen visible volcanic ash layers (tephra) from Vostok ice cores have been analyzed for major elements, trace elements, and Sr and Nd isotope composition. Comparison of their geochemical signatures to lava composition from the inventory of Antarctic and subantarctic volcanoes, which have been active over the last 0.5 million years, indicates that nine layers originate from activity of the South Sandwich volcanic arc, three from southern South America, one from the Antarctic Peninsula (Bransfield Strait), and one from West Antarctica (Marie Byrd Land province). The large size of the tephra (up to 50 mum) requires rapid atmospheric transfer from the volcanic centers to East Antarctica. Rapid tropospheric transport from the southwestern Atlantic, penetrating East Antarctica, therefore predominates during the period studied, whether in glacial or interglacial climatic mode. In spite of the low frequency of occurrence of visible tephra layers in Vostok core (one event every 20 kyr), the overall atmospheric pathway of these ash events appears consistent with the almost continuous advection of continental dust from South America.</t>
  </si>
  <si>
    <t>Ctr Europeen Rech &amp; Enseignement Geosci Environm, F-13545 Aix En Provence, France; Lab Glaciol &amp; Geophys Environm, F-38402 St Martin Dheres, France; Inst Dolomieu, Lab Geol Chaines Alpines, F-38301 Grenoble, France; Univ Bordeaux 1, Dept Geol &amp; Oceanog, F-33405 Talence, France; Arctic &amp; Antarctic Res Inst, St Petersburg 199226, Russia</t>
  </si>
  <si>
    <t>Aix-Marseille Universite; Universite de Bordeaux; Arctic &amp; Antarctic Research Institute</t>
  </si>
  <si>
    <t>Basile, I (corresponding author), Ctr Europeen Rech &amp; Enseignement Geosci Environm, Europole Mediterraneen Arbois,BP 80, F-13545 Aix En Provence, France.</t>
  </si>
  <si>
    <t>basile@cerege.fr</t>
  </si>
  <si>
    <t>Basile, Isabelle IBD/B-4173-2010</t>
  </si>
  <si>
    <t>10.1029/2000JD000102</t>
  </si>
  <si>
    <t>WOS:000173479100022</t>
  </si>
  <si>
    <t>Lal, D; Jull, AJT; Donahue, DJ; Burr, GS; Deck, B; Jouzel, J; Steig, E</t>
  </si>
  <si>
    <t>Record of cosmogenic in situ produced 14C in Vostok and Taylor Dome ice samples:: Implications for strong role of wind ventilation processes</t>
  </si>
  <si>
    <t>RAY-PRODUCED C-14; POLAR ICE; GREENHOUSE GASES; ABLATION RATES; CORE RECORD; ANTARCTICA; BE-10; GREENLAND; ACCUMULATION; (CO2)-C-14</t>
  </si>
  <si>
    <t>We present results of studies of in situ cosmogenic C-14 in several ice samples from the Vostok and Taylor Dome cores, spanning the time intervals of 20 and 11 k.y. B.P., respectively. The results are in variance with our findings for the Greenland Ice Sheet Project 2 (GISP 2) samples, where near quantitative C-14 retention was observed. The partitioning of C-14 in the CO and CO2 phases is, however, quite similar in the GISP and two Antarctic ice samples. Noting that most of the in situ C-14 is produced in the ice during its accumulation to thicknesses of up to similar to10 in, we interpret the observed C-14 deficiencies in Antarctic ice samples as due to grain metamorphism (recrystallization and sublimation or evaporation caused by wind ventilation). Simplified models for wind ventilation exhibit an interesting feature of the firnification processes; they differently affect the concentrations of in situ C-14 and of the cosmogenic nuclides Be-10 and Cl-36 scavenged from the atmosphere in the accumulating firn. By studying the concentrations of in situ cosmogenic C-14 and the atmospheric cosmogenic nuclides in the same ice samples, one can hope to obtain fairly realistic models of the chemical impacts of firnification processes: specifically, relationships between precipitation and accumulation and the main processes contributing to modifications in the nuclide concentrations.</t>
  </si>
  <si>
    <t>Univ Calif San Diego, Scripps Inst Oceanog, Geosci Res Div, La Jolla, CA 92093 USA; Univ Arizona, Natl Sci Fdn, Arizona Accelerator Mass Spectrometer Facil, Tucson, AZ 85721 USA; CEA Saclay, Lab Sci Climat &amp; Environm, F-91191 Gif Sur Yvette, France; Univ Penn, Dept Earth &amp; Environm Sci, Philadelphia, PA 19104 USA</t>
  </si>
  <si>
    <t>University of California System; University of California San Diego; Scripps Institution of Oceanography; University of Arizona; National Science Foundation (NSF); CEA; Centre National de la Recherche Scientifique (CNRS); Universite Paris Saclay; University of Pennsylvania</t>
  </si>
  <si>
    <t>Lal, D (corresponding author), Univ Calif San Diego, Scripps Inst Oceanog, Geosci Res Div, La Jolla, CA 92093 USA.</t>
  </si>
  <si>
    <t>dlal@ucsd.edu</t>
  </si>
  <si>
    <t>; /G-9088-2015</t>
  </si>
  <si>
    <t>Burr, George/0000-0003-0068-7589; /0000-0002-8191-5549</t>
  </si>
  <si>
    <t>10.1029/2001JD900086</t>
  </si>
  <si>
    <t>WOS:000173479100023</t>
  </si>
  <si>
    <t>Ritz, C; Rommelaere, V; Dumas, C</t>
  </si>
  <si>
    <t>Modeling the evolution of Antarctic ice sheet over the last 420,000 years: Implications for altitude changes in the Vostok region</t>
  </si>
  <si>
    <t>NUMERICAL-MODEL; GLACIAL MAXIMUM; GREENLAND; CLIMATE; SHELF; FLOW; STREAM; DEFORMATION; SENSITIVITY; SEDIMENT</t>
  </si>
  <si>
    <t>A new thermomechanical three-dimensional model designed to simulate the evolution of the Antarctic ice sheet over long time periods is presented. This model incorporates the various types of ice flow found in Antarctica: relatively slow inland ice flow that is essentially due to ice deformation, fast ice flow in the regions with ice streams, and ice shelf flow. By coupling these three types of flow, it is possible to predict grounding line migration. Simulations covering four glacial-interglacial cycles have been conducted by forcing this model with a temperature record from Vostok and a sea level record from marine cores. Our findings indicate that grounding line migration induced by sea level changes is the primary factor governing the evolution of the Antarctic ice volume. On the other hand, the altitude of the ice sheet surface at Vostok is driven by accumulation rate variations. The amplitude of the altitude change does not exceed 150 m and is very similar for all the sites located on the Antarctic Plateau.</t>
  </si>
  <si>
    <t>Univ Grenoble 1, CNRS, LGGE, F-38402 St Martin Dheres, France</t>
  </si>
  <si>
    <t>Communaute Universite Grenoble Alpes; Universite Grenoble Alpes (UGA); Centre National de la Recherche Scientifique (CNRS)</t>
  </si>
  <si>
    <t>Univ Grenoble 1, CNRS, LGGE, BP 96, F-38402 St Martin Dheres, France.</t>
  </si>
  <si>
    <t>catritz@glaciog.ujf-grenoble.fr</t>
  </si>
  <si>
    <t>Ritz, Catherine/0000-0003-0785-8571</t>
  </si>
  <si>
    <t>10.1029/2001JD900232</t>
  </si>
  <si>
    <t>WOS:000173479100024</t>
  </si>
  <si>
    <t>Nilsson, ED; Rannik, Ü; Håkansson, M</t>
  </si>
  <si>
    <t>Surface energy budget over the central Arctic Ocean during late summer and early freeze-up</t>
  </si>
  <si>
    <t>ANTARCTIC SEA-ICE; SULFATE AEROSOLS; HEAT-FLUX; CLIMATE; ALBEDO; MODEL; TEMPERATURE; VARIABILITY; SENSITIVITY; TRANSPORT</t>
  </si>
  <si>
    <t>During the Arctic Ocean Expedition 1996 we measured radiative, turbulent, and conductive heat fluxes from late summer to early freeze-up, over the Norwegian Sea into the Arctic Ocean to latitude 88degreesN, mainly in air that had spent several days over the pack ice. In summer the net radiation was positive, on average +26 W m(-2), where the leads contributed more than the ice floes. Clouds had a cooling net effect. During the freeze-up period the net 2 radiation was dominated by the ice floes, on average -8 W m(-2), with a warming cloud net effect. The turbulent fluxes were on average small and unable to balance the net radiation except during cyclone activity, when the total turbulent heat fluxes averaged to +11 W m(-2) During the freeze-up period the conductive heat flux averaged to -4 W m(-2). In summer, melting of ice must largely have caused the average positive residual (+21 +/- 5 W m(-2)). During the freeze-up period the average negative residual (-7 +/- 3 W m(-2)) must result from formation of new ice and oceanic turbulent/convective fluxes in the leads. There was a diurnal cycle in net radiation both in summer (17 W m(-2) average amplitude) and the freeze-up period (8 W m(-2)) The turbulent sensible heat flux (average amplitude -5 W m(-2)), as well as the turbulent latent heat flux (1 W m(-2) in summer) and conductive flux in the ice (2.5 W m(-2) during the freeze-up) responded to this. These results emphasize the high sensitivity of the heat and radiation budget balances to changes in cyclone activity, leads, and clouds.</t>
  </si>
  <si>
    <t>Stockholm Univ, Dept Meteorol, S-10691 Stockholm, Sweden; Univ Helsinki, Dept Phys, Lab Aerosol &amp; Environm Phys, FIN-00014 Helsinki, Finland</t>
  </si>
  <si>
    <t>Stockholm University; University of Helsinki</t>
  </si>
  <si>
    <t>Stockholm Univ, Dept Meteorol, S-10691 Stockholm, Sweden.</t>
  </si>
  <si>
    <t>dolan@misu.su.se</t>
  </si>
  <si>
    <t>Nilsson, Douglas/ABF-5852-2020</t>
  </si>
  <si>
    <t>Nilsson, Douglas/0000-0003-3996-5793</t>
  </si>
  <si>
    <t>10.1029/2000JD900083</t>
  </si>
  <si>
    <t>WOS:000173479100041</t>
  </si>
  <si>
    <t>Blake, NJ; Blake, DR; Simpson, IJ; Lopez, JP; Johnston, NAC; Swanson, AL; Katzenstein, AS; Meinardi, S; Sive, BC; Colman, JJ; Atlas, E; Flocke, F; Vay, SA; Avery, MA; Rowland, FS</t>
  </si>
  <si>
    <t>Large-scale latitudinal and vertical distributions of NMHCs and selected halocarbons in the troposphere over the Pacific Ocean during the March-April 1999 Pacific Exploratory Mission (PEM-Tropics B)</t>
  </si>
  <si>
    <t>INTERCOMPARISON EXPERIMENT NOMHICE; NONMETHANE HYDROCARBONS; WESTERN PACIFIC; AIRCRAFT MEASUREMENTS; SEASONAL-VARIATIONS; SOUTH-PACIFIC; CHEMICAL CHARACTERISTICS; ANTARCTIC TROPOSPHERE; CARBON-MONOXIDE; ALKYL NITRATES</t>
  </si>
  <si>
    <t>Nonmethane hydrocarbons (NMHCs) and selected halocarbons were measured in whole air samples collected over the remote Pacific Ocean during NASA's Global Tropospheric Experiment (GTE) Pacific Exploratory Mission-Tropics B (PEM-Tropics B) in March and early April 1999. The large-scale spatial distributions of NMHCs and C2Cl4 reveal a much more pronounced north-south interhemispheric gradient, with higher concentrations in the north and lower levels in the south, than for the late August to early October 1996 PEM-Tropics A experiment. Strong continental outflow and winter-long accumulation of pollutants led to seasonally high Northern Hemisphere trace gas levels during PEM-Tropics B. Observations of enhanced levels of Halon 1211 (from developing Asian nations such as the PRC) and CH3Cl (from SE Asian biomass burning) support a significant southern Asian influence at altitudes above I kin and north of 10degreesN. By contrast, at low altitude over the North Pacific the dominance of urban/industrial tracers, combined with low levels of Halon 1211 and CH3Cl indicate a greater influence from developed nations such as Japan, Europe, and North America. Penetration of air exhibiting aged northern hemisphere characteristics was frequently observed at low altitudes over the equatorial central and western Pacific south to similar to5degreesS. The relative lack of southern hemisphere biomass burning sources and the westerly position of the South Pacific convergence zone contributed to significantly lower PEM-Tropics B mixing ratios of the NMHCs and CH3Cl south of 10degreesS compared to PEM-Tropics A. Therefore the trace gas composition of the South Pacific troposphere was considerably more representative of minimally polluted tropospheric conditions during PEM-Tropics B.</t>
  </si>
  <si>
    <t>Univ Calif Irvine, Dept Chem, Irvine, CA 92697 USA; Natl Ctr Atmospher Res, Div Atmospher Chem, Boulder, CO 80303 USA; NASA, Langley Res Ctr, Div Atmospher Sci, Hampton, VA 23681 USA</t>
  </si>
  <si>
    <t>University of California System; University of California Irvine; National Center Atmospheric Research (NCAR) - USA; National Aeronautics &amp; Space Administration (NASA); NASA Langley Research Center</t>
  </si>
  <si>
    <t>Univ Calif Irvine, Dept Chem, Irvine, CA 92697 USA.</t>
  </si>
  <si>
    <t>nblake@uci.edu; drblake@uci.edu; isimpson@uci.edu; jplopez@uci.edu; jonah@kokopelli.lanl.gov; aswanson@ea.oac.uci.edu; akatzens@uci.edu; smeinard@uci.edu; Barkley.C.Sive@cmich.edu; atlas@acd.ucar.edu; ffl@acd.ucar.edu</t>
  </si>
  <si>
    <t>Avery, Melody A/C-6209-2019; Atlas, Elliot/J-8171-2015; Atlas, Elliot/AAE-4605-2021; Flocke, Frank/AAD-1356-2019; Sive, Barkley C/AHA-8335-2022</t>
  </si>
  <si>
    <t>Flocke, Frank/0000-0002-2661-6394; Atlas, Elliot/0000-0003-3847-5346; Johnston, Nancy/0000-0001-8615-6863; Blake, Donald/0000-0002-8283-5014; Sive, Barkley/0000-0003-0352-8807</t>
  </si>
  <si>
    <t>10.1029/2000JD900773</t>
  </si>
  <si>
    <t>WOS:000173479100065</t>
  </si>
  <si>
    <t>Hall, BL; Henderson, GM</t>
  </si>
  <si>
    <t>Use of uranium-thorium dating to determine past 14C reservoir effects in lakes:: examples from Antarctica</t>
  </si>
  <si>
    <t>thermal ionization mass spectroscopy; Th/U; C-14; Antarctica; lakes</t>
  </si>
  <si>
    <t>MCMURDO DRY VALLEYS; GROUNDED ICE-SHEET; TAYLOR VALLEY; SOUND REGION; ROSS SEA; SEDIMENTS; FRYXELL; CHRONOLOGY; RECORDS; BONNEY</t>
  </si>
  <si>
    <t>The chronologies of many lacustrine records suffer from radiocarbon reservoir effects due to the presence of dissolved 'dead' carbon or to slow air-water exchange. Here we use the TIMS uranium-thorium disequilibrium method, in conjunction with AMS radiocarbon dating, to determine the age of lacustrine carbonates and to quantify the past radiocarbon reservoir effect in two Antarctic lakes with differing characteristics. By correcting a single-sample U/Th age for detrital contamination, a C-14 offset of similar to 18000 yr was obtained for carbonates from the former grounding line of the Ross Sea ice sheet in Glacial Lake Trowbridge. This large reservoir effect is believed to result from the direct input of old CO2 from glacial meltwater. In the second example, an isochron approach on coeval samples formed at the bottom of Lake Vida (now exposed due to lower lake level) yielded an age of 9550 +/- 340 yr B.P. and a radiocarbon reservoir age of 3600 yr. This offset was probably the result of lack of aeration due to perennial ice cover and/or strong density stratification. This evidence for long-term isolation of the lake bottom indicates another level of hardship for life in the Dry Valley lacustrine environment - an environment studied as an analogue for extreme periods of Earth history, as well as for exobiological implications. The success of the U/Th technique on these two examples indicates that TIMS U/Th dating will be of widespread use in dating the important climate information recorded in the Dry Valleys both within and beyond the C-14 age range. (C) 2001 Elsevier Science B.V. All rights reserved.</t>
  </si>
  <si>
    <t>Univ Maine, Dept Geol Sci, Orono, ME 04469 USA; Univ Maine, Inst Quaternary Studies, Orono, ME 04469 USA; Univ Oxford, Dept Earth Sci, Oxford OX1 3PR, England</t>
  </si>
  <si>
    <t>University of Maine System; University of Maine Orono; University of Maine System; University of Maine Orono; University of Oxford</t>
  </si>
  <si>
    <t>Univ Maine, Dept Geol Sci, Orono, ME 04469 USA.</t>
  </si>
  <si>
    <t>brendah@maine.edu; gideon.henderson@earth.ox.ac.uk</t>
  </si>
  <si>
    <t>Henderson, Gideon/0000-0002-6279-7137</t>
  </si>
  <si>
    <t>DEC 15</t>
  </si>
  <si>
    <t>10.1016/S0012-821X(01)00524-6</t>
  </si>
  <si>
    <t>506DH</t>
  </si>
  <si>
    <t>WOS:000172954200025</t>
  </si>
  <si>
    <t>Yokoyama, Y; Esat, TM; Lambeck, K</t>
  </si>
  <si>
    <t>Coupled climate and sea-level changes deduced from Huon Peninsula coral terraces of the last ice age</t>
  </si>
  <si>
    <t>uranium disequilibrium; absolute age; Anthozoa; sea-level changes; Heinrich events</t>
  </si>
  <si>
    <t>PAPUA-NEW-GUINEA; OXYGEN-ISOTOPE RECORDS; PAST 200,000 YEARS; NORTH-ATLANTIC; COSEISMIC UPLIFT; GREENLAND ICE; DEEP-WATER; OSCILLATIONS; VARIABILITY; DURATION</t>
  </si>
  <si>
    <t>Huon Peninsula, Papua New Guinea, is a tectonically unstable, uplifting shoreline ringed by emergent coral terraces. The terraces were formed during episodes of rapid sea-level rise when corals constructed large, discrete coral platforms that were subsequently uplifted. Uranium series ages of four prominent Huon Peninsula last glacial (OIS 3) coral terraces coincide with the timing of major North Atlantic climate reversals at intervals of 6000-7000 yr between 30000 yr and 60000 yr ago. Terrace elevations, when combined with uplift, indicate 10-15-m high sea-level excursions at these times. We attribute the growth of the terraces directly to sea-level rises arising from ice-calving episodes from major North Atlantic ice-sheets and the Antarctic ice-sheet that precipitated extremes of cold climate called Heinrich events. These periods are associated with major discharges of land-based ice and enhanced concentrations of ice-rafted debris in deep-sea cores. Sea-levels at this time were 60-90 m lower than present. (C) 2001 Elsevier Science B.V. All rights reserved.</t>
  </si>
  <si>
    <t>Australian Natl Univ, Res Sch Earth Sci, Canberra, ACT 0200, Australia; Australian Natl Univ, Dept Geol, Canberra, ACT 0200, Australia</t>
  </si>
  <si>
    <t>Australian National University; Australian National University</t>
  </si>
  <si>
    <t>Esat, TM (corresponding author), Australian Natl Univ, Res Sch Earth Sci, GPO Box 4, Canberra, ACT 0200, Australia.</t>
  </si>
  <si>
    <t>Yokoyama, Yusuke/N-9623-2013</t>
  </si>
  <si>
    <t>Esat, Tezer/0000-0001-5331-6568; Esat, Sevilay/0000-0002-7257-4009</t>
  </si>
  <si>
    <t>10.1016/S0012-821X(01)00515-5</t>
  </si>
  <si>
    <t>WOS:000172954200026</t>
  </si>
  <si>
    <t>Harris, JM; Oltmans, SJ; Tans, PP; Evans, RD; Quincy, DL</t>
  </si>
  <si>
    <t>A new method for describing long-term changes in total ozone</t>
  </si>
  <si>
    <t>ANTARCTIC OZONE; COLUMN OZONE; DEPLETION</t>
  </si>
  <si>
    <t>A new method for describing long-term changes in total ozone was developed so that variations on time scales greater than that of the QBO may be examined. The technique fits a flexible tendency curve to total ozone data after explained variations have been removed. The derivative of the tendency curve is the growth rate curve. The average along this curve is comparable to total ozone trends reported in the past. Statistical uncertainty of the growth rate is determined using bootstrap techniques. Dobson column ozone measurements with long-term (30+ years) records from the NOAA/CMDL Cooperative Dobson Network were analyzed. Total ozone decreases ranged from 1-2%/decade since the 1960s and from 2-4%/decade since 1979 at all sites except Mauna Loa where results were not significant. The tendency curves indicate that the total ozone decline began in the 1970s and that there are no clear signs of recovery as of the end of 2000.</t>
  </si>
  <si>
    <t>NOAA, Climate Monitoring &amp; Diagnost Lab, Boulder, CO 80305 USA; Univ Colorado, Cooperat Inst Environm Sci, Boulder, CO 80309 USA</t>
  </si>
  <si>
    <t>National Oceanic Atmospheric Admin (NOAA) - USA; University of Colorado System; University of Colorado Boulder</t>
  </si>
  <si>
    <t>Harris, JM (corresponding author), NOAA, Climate Monitoring &amp; Diagnost Lab, 325 Broadway, Boulder, CO 80305 USA.</t>
  </si>
  <si>
    <t>Oltmans, Samuel/AAC-8987-2022; Evans, Robert/D-4731-2016; Tans, Pieter/AAG-8273-2019</t>
  </si>
  <si>
    <t>Evans, Robert/0000-0002-8693-9769; Tans, Pieter/0000-0002-9883-0787</t>
  </si>
  <si>
    <t>10.1029/2001GL013501</t>
  </si>
  <si>
    <t>507KA</t>
  </si>
  <si>
    <t>WOS:000173025400007</t>
  </si>
  <si>
    <t>Carril, AF; Navarra, A</t>
  </si>
  <si>
    <t>Low-frequency variability of the Antarctic Circumpolar Wave</t>
  </si>
  <si>
    <t>NCEP-NCAR REANALYSIS; SURFACE PRESSURE; OCEAN; CIRCULATION; TEMPERATURE; MECHANISM; MODEL</t>
  </si>
  <si>
    <t>This study evaluates the Antarctic Circumpolar Wave (ACW) variability in the Southern Ocean using a 27-year series of sea surface temperature (SST) and sea level pressure (SLP). From a cross-covariance analysis we find that the strongest covariation between the extratropical wavenumber-2 in SST and in SLP is during the austral summer in the South Pacific Ocean. Examination of the time series reveals two timescales of variability. A wavenumber-2 structure in SST and SLP anomalies correlates well at interannual (IA) timescales, when ENSO-driven teleconnections seem to energize the ACW. Moreover, in the 1973-1999 epoch, the ACW has been modulated by interdecadal (ID) variability possibly related to the Southern Oscillation.</t>
  </si>
  <si>
    <t>Ist Sci Atmosfera Oceano, Bologna, Italy; Ist Nazl Geofis &amp; Vulcanol, Bologna, Italy</t>
  </si>
  <si>
    <t>Carril, AF (corresponding author), Ist Sci Atmosfera Oceano, Bologna, Italy.</t>
  </si>
  <si>
    <t>Carril, Andrea F./0000-0003-3743-9685</t>
  </si>
  <si>
    <t>10.1029/2001GL013804</t>
  </si>
  <si>
    <t>WOS:000173025400029</t>
  </si>
  <si>
    <t>Bay, RC; Price, PB; Clow, GD; Gow, AJ</t>
  </si>
  <si>
    <t>Climate logging with a new rapid optical technique at Siple Dome</t>
  </si>
  <si>
    <t>PROJECT-2 ICE CORE; GREENLAND ICE; VOLCANIC ASH; SOUTH-POLE; DEEP ICE; SHEET; INSTABILITY; VARIABILITY; PROMINENT; HOLOCENE</t>
  </si>
  <si>
    <t>The dust logger design is based on a decade of experience in the use of light sources to measure optical properties of deep Antarctic ice, Light is emitted at the top of the instrument by side-directed LEDs, scattered or absorbed by dust in the ice surrounding the borehole, and collected in a downhole-pointing photomultiplier tube (PMT) a meter below. With this method the ice is sampled at ambient pressure in a much larger volume than is the case in a core study, and the entire length can be logged in one day. In ice in which scattering is dominated by bubbles, the absorption from dust impurities is perceived as a drop in signal, whereas in bubble-free ice the scattering from dust increases the light collected. We report on results obtained in Siple Dome Hole A in December 2000. The instrument measured increases in dust concentration extending over many meters during glacial maxima, as well as narrow spikes due to similar to1 cm thick ash and dust bands of volcanic origin. Monte Carlo simulation is employed to clarify data analysis and predict the capabilities of future designs.</t>
  </si>
  <si>
    <t>Univ Calif Berkeley, Dept Phys, Berkeley, CA 94720 USA; US Geol Survey, Lakewood, CO 80225 USA; USA, Cold Reg Res &amp; Engn Lab, Hanover, NH 03755 USA</t>
  </si>
  <si>
    <t>University of California System; University of California Berkeley; United States Department of the Interior; United States Geological Survey; United States Department of Defense; United States Army; U.S. Army Corps of Engineers; U.S. Army Engineer Research &amp; Development Center (ERDC); Cold Regions Research &amp; Engineering Laboratory (CRREL)</t>
  </si>
  <si>
    <t>Bay, RC (corresponding author), Univ Calif Berkeley, Dept Phys, Berkeley, CA 94720 USA.</t>
  </si>
  <si>
    <t>10.1029/2001GL013763</t>
  </si>
  <si>
    <t>WOS:000173025400032</t>
  </si>
  <si>
    <t>Comiso, JC; Steffen, K</t>
  </si>
  <si>
    <t>Studies of Antarctic sea ice concentrations from satellite data and their applications</t>
  </si>
  <si>
    <t>IN-SITU; WEDDELL SEA; WINTER; VARIABILITY; PARAMETERS; SIGNATURES; TRENDS; COVER; AREA</t>
  </si>
  <si>
    <t>Large regional and temporal changes in the global sea ice cover have been observed recently. Because of the relevance of such changes to climate change studies it is important that key ice concentration data sets currently used for evaluating such a phenomenon are assessed for accuracy and interpreted properly. Sea ice concentrations derived from passive microwave data using the Bootstrap and NASA Team algorithms are shown to be generally consistent but are also observed to differ by 10-35% in large areas within the ice pack, especially in the Weddell Sea, Amundsen Sea, and Ross Sea regions. Comparative analyses of such passive microwave data with coregistered visible and infrared (i.e., Landsat, AVHRR, and OLS) data show a predominance of thick consolidated ice in these areas and good agreement with the Bootstrap algorithm results. The relatively low values from the NASA Team algorithm results are likely due to layering within the ice and snow and/or surface flooding, which are known to affect the polarization ratio. Large seasonality in the physical characteristics and emissivity of the ice cover is also observed, and in predominantly new ice regions, the ice concentrations from passive microwave data are usually lower than retrievals from Landsat and OLS data in which the thresholding technique is used. The passive microwave results are biased because of relatively low emissivity of new ice, but they may be more useful since the bias allows for the identification of areas of significant divergence and polynya activities. Such areas need to be identified since heat and salinity fluxes are proportionately increased in these areas compared to those from the thicker ice areas. Time series data from 1978 through 2000 also show a slight but insignificant positive trend of 0.17 +/- 0.33%/decade in ice extent which is consistent with slight continental cooling during the period. This is a big contrast to the observed negative trend of about -3%/decade in the Arctic sea ice cover. It should be noted, however, that because the overlap period for key instruments is just 1 month, the error due to changes in sensor characteristics, calibration, and threshold for the 15% ice edge may not be negligible.</t>
  </si>
  <si>
    <t>NASA, Goddard Space Flight Ctr, Greenbelt, MD 20771 USA; Univ Colorado, CIRES, Boulder, CO 80309 USA</t>
  </si>
  <si>
    <t>National Aeronautics &amp; Space Administration (NASA); NASA Goddard Space Flight Center; University of Colorado System; University of Colorado Boulder</t>
  </si>
  <si>
    <t>comiso@joey.gsfc.nasa.gov</t>
  </si>
  <si>
    <t>Steffen, Konrad/C-6027-2013</t>
  </si>
  <si>
    <t>C12</t>
  </si>
  <si>
    <t>10.1029/2001JC000823</t>
  </si>
  <si>
    <t>513WB</t>
  </si>
  <si>
    <t>WOS:000173402400031</t>
  </si>
  <si>
    <t>Trull, TW; Sedwick, PN; Griffiths, FB; Rintoul, SR</t>
  </si>
  <si>
    <t>Introduction to special section: SAZ Project</t>
  </si>
  <si>
    <t>SOUTHERN-OCEAN; SEASONAL EVOLUTION; IRON; SECTOR; WATERS; PHYTOPLANKTON; CIRCULATION; TASMANIA; SEA; LIMITATION</t>
  </si>
  <si>
    <t>Oceanographic processes in the subantarctic region contribute crucially to the physical and biogeochemical aspects of the global climate system. To explore and quantify these contributions, the Antarctic Cooperative Research Centre (CRC) organized the SAZ Project, a multidisciplinary, multiship investigation carried out south of Australia in the austral summer of 1997-1998. Here we present a brief overview of the SAZ Project and some of its major results, as detailed in the 16 papers that follow in this special section.</t>
  </si>
  <si>
    <t>Antarctic Cooperat Res Ctr, Hobart, Tas 7001, Australia</t>
  </si>
  <si>
    <t>Trull, TW (corresponding author), Antarctic Cooperat Res Ctr, GPO Box 252-80, Hobart, Tas 7001, Australia.</t>
  </si>
  <si>
    <t>tom.trull@utas.edu.au</t>
  </si>
  <si>
    <t>Rintoul, Stephen R/A-1471-2012; Trull, Tom W/B-7028-2014</t>
  </si>
  <si>
    <t>Rintoul, Stephen R/0000-0002-7055-9876; Sedwick, Peter/0000-0003-0663-8323</t>
  </si>
  <si>
    <t>10.1029/2001JC001008</t>
  </si>
  <si>
    <t>WOS:000173402400035</t>
  </si>
  <si>
    <t>McNeil, BI; Tilbrook, B; Matear, RJ</t>
  </si>
  <si>
    <t>Accumulation and uptake of anthropogenic CO2 in the Southern Ocean, south of Australia between 1968 and 1996</t>
  </si>
  <si>
    <t>TOTAL CARBON-DIOXIDE; WATER; TASMANIA; SEAWATER; PACIFIC; CIRCULATION; ANTARCTICA; SECTION; FRONTS; CYCLE</t>
  </si>
  <si>
    <t>Increases in the anthropogenic CO2 inventory for Southern Ocean waters to the south of Australia were estimated by comparing measurements made 28 years apart in 1968 and 1996. For this period, the deepest penetration of anthropogenic CO2 is consistent with the depth of 28 year old water from CFC-11 age estimates. Significant accumulation of anthropogenic CO2 (13+/-10mumol ka(-1)) was found in Antarctic Bottom Water (AABW) from 500 - 4500m south of 58degreesS suggesting AABW to be an important water mass for the storage of anthropogenic CO2 in the deep ocean. Deep penetration of anthropogenic CO2 (&lt;1900m) was found in the sub-Antarctic zone (SAZ) between 48degreesS and 51degreesS while little accumulation (&lt;400m) was observed south of 53degreesS. A simple one dimensional box model was used to investigate the anthropogenic CO2 uptake potential in the SAZ based on observed CFC-11 concentrations and the calculated anthropogenic CO2 inventory. Formation and export of sub-Antarctic Mode Water (SAMW) was estimated by reproducing the observed present day SAMW CFC-11 concentration using time histories of atmospheric CFC-11 concentrations. The anthropogenic CO2 uptake for the SAZ (45degrees - 50degreesS) ranged from 0.73 to 0.86 mumol kg yr(-1). The calculated range of SAMW formation and export rates only increased the anthropogenic CO2 uptake potential for the SAZ by as much as 18% (&lt;0.13mumol kg(-1) yr(-1)). Extrapolating our estimate to the circumpolar SAZ gives an anthropogenic CO2 uptake of 0.07 - 0.08 GTC yr(-1). Even though SAMW formation does not considerably enhance anthropogenic CO2 uptake in the SAZ, it provides an important mechanism for transporting anthropogenic CO2 into the ocean interior. SAMW therefore may be important for anthropogenic CO2 uptake on a larger regional scale.</t>
  </si>
  <si>
    <t>Antarctic Cooperat Res Ctr, Hobart, Tas, Australia; CSIRO, Marine Res, Hobart, Tas 7001, Australia</t>
  </si>
  <si>
    <t>Princeton Univ, AOS Program, Sayre Hall,Forrestal Campus,POB CN710, Princeton, NJ 08544 USA.</t>
  </si>
  <si>
    <t>bmcneil@princeton.edu; bronte.tilbrook@marine.csiro.au; richard.matear@marine.csiro.au</t>
  </si>
  <si>
    <t>Tilbrook, Bronte/W-4007-2019; matear, richard/C-5133-2011</t>
  </si>
  <si>
    <t>Tilbrook, Bronte/0000-0001-9385-3827; matear, richard/0000-0002-3225-0800; McNeil, Ben/0000-0001-5765-7087</t>
  </si>
  <si>
    <t>10.1029/2000JC000331</t>
  </si>
  <si>
    <t>WOS:000173402400036</t>
  </si>
  <si>
    <t>Rintoul, SR; Trull, TW</t>
  </si>
  <si>
    <t>Seasonal evolution of the mixed layer in the Subantarctic Zone south of Australia</t>
  </si>
  <si>
    <t>SUB-ANTARCTIC REGION; SURFACE WATERS; PACIFIC-OCEAN; TASMANIA; CO2; VARIABILITY; TEMPERATURE; GRADIENTS; FRONTS; MASSES</t>
  </si>
  <si>
    <t>The circumpolar Subantarctic Zone (SAZ) is a globally significant region of water mass formation and carbon dioxide uptake from the atmosphere. Here we synthesize the results of nine voyages over 8 years to describe the seasonal variation in mixed layer properties in the SAZ south of Australia for comparison with biogeochemical process studies carried out in late summer (March 1998) as part of the SAZ Project. Winter mixing extends to depths &gt;400 m, resulting in the formation of Subantarctic Mode Water. In summer the mixed layer shoals to 75-100 m, depths which are still sufficiently deep that phytoplankton growth may be light limited. Nitrate and phosphate concentrations are reduced in summer (e.g., nitrate decreases from &gt;15 to &lt;5 mumol kg(-1)) but remain well above limiting levels. Silicate, in contrast, is low throughout the year (4 mumol kg(-1) in winter and &lt;2 mumol kg(-1) in summer). Water mass properties along a north-south hydrographic section in March 1998 suggest that near-surface waters spread from south to north across the Subantarctic Front (SAF), supplying cool, fresh, nutrient-rich water to the SAZ. As a consequence, the properties of the southern SAZ differ from those farther north: the mixed layer in the south is cooler, fresher, deeper, higher in nutrients, and bounded below by a halocline (rather than by a seasonal thermocline, as in the northern SAZ). The contrast between the northern and southern SAZ persists throughout the year, suggesting the cross-front exchange occurs year-round and likely contributes to the differences in seasonal thermal amplitude and algal biomass accumulation seen in satellite images. Density-compensated horizontal gradients of temperature and salinity are common in the mixed layer of the SAZ and the northern SAF, consistent with the hypothesis that the vigor of lateral mixing in the mixed layer is a strong function of the magnitude of the lateral density gradient.</t>
  </si>
  <si>
    <t>CSIRO, Marine Res, Hobart, Tas 7001, Australia; Antarctic CRC, Hobart, Tas 7001, Australia</t>
  </si>
  <si>
    <t>CSIRO, Marine Res, GPO Box 1538, Hobart, Tas 7001, Australia.</t>
  </si>
  <si>
    <t>steve.rintoul@csiro.au; tom.trull@utas.edu.au</t>
  </si>
  <si>
    <t>Trull, Tom W/B-7028-2014; Rintoul, Stephen R/A-1471-2012</t>
  </si>
  <si>
    <t>Rintoul, Stephen R/0000-0002-7055-9876</t>
  </si>
  <si>
    <t>10.1029/2000JC000329</t>
  </si>
  <si>
    <t>WOS:000173402400037</t>
  </si>
  <si>
    <t>Lourey, MJ; Trull, TW</t>
  </si>
  <si>
    <t>Seasonal nutrient depletion and carbon export in the Subantarctic and Polar Frontal Zones of the Southern Ocean south of Australia</t>
  </si>
  <si>
    <t>NET COMMUNITY PRODUCTION; DISSOLVED ORGANIC-CARBON; ROSS SEA; PHYTOPLANKTON BIOMASS; PRIMARY PRODUCTIVITY; CIRCUMPOLAR CURRENT; INORGANIC CARBON; IRON-DEFICIENCY; SURFACE WATERS; SECTOR</t>
  </si>
  <si>
    <t>Seasonal surface water nitrate and phosphate depletions were calculated for the Subantarctic Zone (SAZ) and Polar Frontal Zone (PFZ) of the Southern Ocean along the World Ocean Circulation Experiment SR3 repeat section south of Tasmania, Australia, and three other transects slightly to the west. The depletions were calculated between a single winter (July) section and eight other sections from October to March in the years 1991-1998 and corrected for frontal movements and changes in water masses between the cruises using observed quasi-linear nutrient-salinity relationships. Arranged in a seasonal progression, depletion began in approximately October and continued through March, in good agreement with satellite biomass-based estimates of production. Nitrate depletion in the SAZ (510 mmol N m(-2)) was approximately twice that of the PFZ (250 mmol N m(-2)), but phosphate depletions were similar (29 and 24 mmol P m-2 for the SAZ and PFZ, respectively). The SAZ exhibited a Redfield NIP depletion ratio (15.1 +/- 2.3), but the PFZ ratio was much lower (8.3 +/- 5.4). While the SAZ exhibits greater seasonal nutrient depletion, the relative magnitudes of export in the two zones remain uncertain because supply of nutrients from south of the Polar Front may lower the observed nutrient depletions in the PFZ. However, comparisons with sediment trap and production measurements for the region south of Australia suggest the SAZ and PFZ differences derive from differences in production. Assuming a Redfield C/N ratio (6.6), carbon export for the longest period examined (July-March) averaged 3400 +/- 430 mmol C m(-2) in the SAZ, with a range between 2700 and 3900 mmol C m(-2) depending on latitude. In the PFZ, carbon export averaged 1600 +/- 350 mmol C m(-2), with a range of 1100 to 2000 mmol C m(-2). These averages represent minimum annual export production estimates because neither resupply nor export outside the July-March observational period is included.</t>
  </si>
  <si>
    <t>Univ Tasmania, Inst Antarctic &amp; So Ocean Studies, Hobart, Tas 7001, Australia; Univ Tasmania, Antarctic Cooperat Res Ctr, Hobart, Tas 7001, Australia</t>
  </si>
  <si>
    <t>Lourey, MJ (corresponding author), Univ Tasmania, Inst Antarctic &amp; So Ocean Studies, GPO Box 252-77, Hobart, Tas 7001, Australia.</t>
  </si>
  <si>
    <t>mlourey@utas.edu.au; tom.trull@utas.edu.au</t>
  </si>
  <si>
    <t>Trull, Tom W/B-7028-2014</t>
  </si>
  <si>
    <t>10.1029/2000JC000287</t>
  </si>
  <si>
    <t>WOS:000173402400038</t>
  </si>
  <si>
    <t>Trull, TW; Bray, SG; Manganini, SJ; Honjo, S; Francois, R</t>
  </si>
  <si>
    <t>Moored sediment trap measurements of carbon export in the Subantarctic and Polar Frontal Zones of the Southern Ocean, south of Australia</t>
  </si>
  <si>
    <t>PARTICLE FLUXES; ATLANTIC SECTOR; INTERANNUAL VARIABILITY; NORTH-ATLANTIC; ROSS-SEA; PHYTOPLANKTON PRODUCTION; COMMUNITY STRUCTURE; CIRCUMPOLAR CURRENT; KERGUELEN-ISLANDS; SINKING PARTICLES</t>
  </si>
  <si>
    <t>Sediment trap moorings were deployed from September 21, 1997 through February 21, 1998 at three locations south of Australia along 140degreesE: at similar to47degreesS in the central Subantarctic Zone (SAZ) with traps at 1060, 2050, and 3850 m depth, at similar to51degreesS in the Subantarctic Front with one trap at 3080 m, and at similar to54degreesS in the Polar Frontal Zone (PFZ) with traps at 830 and 1580 m. Particle fluxes were high at all the sites (18-32 g m(-2) yr(-1) total mass and 0.5-1.4 g organic carbon m(-2) yr(-1) at similar to1000 m, assuming minimal flux outside the sampled summer period). These values are similar to other Southern Ocean results and to the median estimated for the global ocean by Lampitt and Antia [1997], and emphasize that the Southern Ocean exports considerable carbon to the deep sea despite its high-nutrient, low chlorophyll characteristics. The SAZ site was dominated by carbonate (&gt;50% of total mass) and the PFZ site by biogenic silica (&gt;50% of total mass). Both sites exhibited high export in spring and late summer, with an intervening low flux period in December. For the 153 day collection period, particulate organic carbon export was somewhat higher in all the traps in the SAZ (range 0.57-0.84 gC m(-2)) than in the PFZ (range 0.31-0.53), with an intermediate value observed at the SAF (0.60). The fraction of surface organic carbon export (estimated from seasonal nutrient depletion, Lourey and Trull [2001]) reaching 1000 m was indistinguishable in the SAZ and PFZ, despite different algal communities.</t>
  </si>
  <si>
    <t>Antarctic Cooperat Res Ctr, Hobart, Tas 7001, Australia; Woods Hole Oceanog Inst, Woods Hole, MA 02543 USA</t>
  </si>
  <si>
    <t>Tom.Trull@utas.edu.au</t>
  </si>
  <si>
    <t>10.1029/2000JC000308</t>
  </si>
  <si>
    <t>WOS:000173402400039</t>
  </si>
  <si>
    <t>Wang, XJ; Matear, RJ</t>
  </si>
  <si>
    <t>Modeling the upper ocean dynamics in the Subantarctic and Polar Frontal Zones in the Australian sector of the Southern Ocean</t>
  </si>
  <si>
    <t>MIXED-LAYER; CO2; PARAMETERIZATION; VARIABILITY; SIMULATION; SITE; PAPA</t>
  </si>
  <si>
    <t>A one-dimensional (1-D) mixed layer model (the Chen scheme) was applied in the Subantarctic Zone (SAZ) and the Polar Frontal Zone (PFZ) to simulate the upper ocean dynamics. The model was forced with 4 years data of the heat fluxes, freshwater fluxes, and wind stresses from the National Centers for Environmental Prediction. In both the SAZ and PFZ, the 1-D model was capable of reproducing the amplitude of the seasonal sea surface temperature (SST) and the seasonality of the mixed layer depth (MLD). The shallowest MLD was found in January-February (20 m in the SAZ, 35 m in the PFZ), and the deepest MLD was found between August and October (600 in in the SAZ, 160 m in the PFZ). The summer MLD was shallower in the SAZ than in the PFZ due to the lower wind stress. However, the shallower winter MLD in the PFZ than in the SAZ was due to flee strong stratification in the water below the mixed layer. In the SAZ, variability in the wind stress was the dominant term driving the fluctuation in MLD in the summer, but variability in the heat flux was the major factor controlling the timing of the deepening and shoaling of the mixed layer in the winter. In the PFZ both the variability in the wind stress and the heat flux dominated the variability of the MLD in both the summer and the winter.</t>
  </si>
  <si>
    <t>Moss Landing Marine Labs, Moss Landing, CA 95039 USA; CSIRO, Div Marine Res, Hobart, Tas 7001, Australia; Univ Tasmania, Antarctic CRC, Hobart, Tas, Australia; Univ Tasmania, Inst Antarctic &amp; So Ocean Studies, Hobart, Tas 7001, Australia</t>
  </si>
  <si>
    <t>Moss Landing Marine Laboratories; Commonwealth Scientific &amp; Industrial Research Organisation (CSIRO); University of Tasmania; University of Tasmania</t>
  </si>
  <si>
    <t>Moss Landing Marine Labs, 8272 Moss Landing Rd, Moss Landing, CA 95039 USA.</t>
  </si>
  <si>
    <t>wwang@mlml.calstate.edu; richard.matear@marine.csiro.au</t>
  </si>
  <si>
    <t>Wang, Xiujun/F-2641-2010; matear, richard/C-5133-2011</t>
  </si>
  <si>
    <t>Wang, Xiujun/0000-0002-2859-8011; matear, richard/0000-0002-3225-0800</t>
  </si>
  <si>
    <t>10.1029/2000JC000357</t>
  </si>
  <si>
    <t>WOS:000173402400040</t>
  </si>
  <si>
    <t>Wang, XJ; Matear, RJ; Trull, TW</t>
  </si>
  <si>
    <t>Modeling seasonal phosphate export and resupply in the Subantarctic and Polar Frontal Zones in the Australian sector of the Southern Ocean</t>
  </si>
  <si>
    <t>ANTARCTIC OCEAN; CARBON-DIOXIDE; INDIAN-OCEAN; SEA; FLUX; CO2; PACIFIC; ATLANTIC; DYNAMICS; GROWTH</t>
  </si>
  <si>
    <t>We developed and applied a one-dimensional (z) biophysical model to the Subantarctic Zone (SAZ) and the Polar Frontal Zone (PFZ) to simulate seasonal phosphate export production and resupply. The physical component of our model was capable of reproducing the observed seasonal amplitude of sea surface temperature and mixed layer depth. In the biological component of the model we used incident light, mixed layer depth, phosphate availability, and estimates of phytoplankton biomass from the Sea-viewing Wide Field-of-view Sensor to determine production and tuned the model to reproduce the observed seasonal cycle of phosphate. We carried out a series of sensitivity studies, taking into account uncertainties in both physical fields and biological formulations (including potential influence of iron limitation), which led to several robust conclusions (as represented by the ranges below). The major growing season contributed 66-76% of the annual export production in both regions. The simulated annual export production was significantly higher in the PFZ (68-83 mmol P m(-2)) than in the SAZ (52-61 mmol P m(-2)) despite the PFZ's having lower seasonal nutrient depletion. The higher export production in the PFZ was due to its greater resupply of phosphate to the upper ocean during the September to March period (27-37 mmol P m(-2)) relative to that in the SAZ (8-15 mmol P m(-2)). Hence seasonal nutrient depletion was a better estimate of seasonal export production in the SAZ, as demonstrated by its higher ratio of seasonal depletion/export (64-78%) relative to that in the PFZ (34-47%). In the SAZ, vertical mixing was the dominant mechanism for supplying phosphate to the euphotic zone, whereas in the PFZ, vertical mixing supplied only 37% of the phosphate to the euphotic zone and horizontal transport supplied the remaining 63%.</t>
  </si>
  <si>
    <t>Antarctic Cooperat Res Ctr, Hobart, Tas, Australia; CSIRO, Div Marine Res, Hobart, Tas 7001, Australia; Univ Tasmania, Inst Antarctic &amp; So Ocean Studies, Hobart, Tas 7001, Australia</t>
  </si>
  <si>
    <t>Commonwealth Scientific &amp; Industrial Research Organisation (CSIRO); University of Tasmania</t>
  </si>
  <si>
    <t>wwang@mlml.calstate.edu; richard.matear@marine.csiro.au; tom.trull@utas.edu.au</t>
  </si>
  <si>
    <t>Wang, Xiujun/F-2641-2010; Trull, Tom W/B-7028-2014; matear, richard/C-5133-2011</t>
  </si>
  <si>
    <t>10.1029/2000JC000645</t>
  </si>
  <si>
    <t>WOS:000173402400041</t>
  </si>
  <si>
    <t>Parslow, JS; Boyd, PW; Rintoul, SR; Griffiths, FB</t>
  </si>
  <si>
    <t>A persistent subsurface chlorophyll maximum in the Interpolar Frontal Zone south of Australia: Seasonal progression and implications for phytoplankton-light-nutrient interactions</t>
  </si>
  <si>
    <t>ANTARCTIC CIRCUMPOLAR CURRENT; WESTERN EQUATORIAL PACIFIC; IRON FERTILIZATION; SINKING RATE; PRODUCTIVITY; SILICATE; GROWTH; WATERS; PHOTOSYNTHESIS; DEFICIENCY</t>
  </si>
  <si>
    <t>A subsurface chlorophyll maximum (SCM), composed principally of large diatoms, has been consistently observed in summer and autumn between 53 and 58 S along 140degreesE on Australian World Ocean Circulation Experiment and Joint Global Ocean Flux Study cruises from 1994 to 1998. This region lies in a zone of weak northward flow, between two branches of the Polar Front (hence the Interpolar Frontal Zone (IPFZ)). In the IPFZ, mixed layer nitrate concentrations are high (&gt;24 muM) year-round, while mixed layer silicic acid is intermediate (about 15 muM) in winter but is depleted to 2 muM or less in late summer. Dissolved Fe concentrations, only available for summer, are low (&lt;0.2 nM). Mixed layer chlorophyll concentrations are generally &lt;0.3 mug L-1 and surface waters thus fit the high-nitrate low-chlorophyll (HNLC) definition. In spring and early summer, the SCM is relatively shallow (about 60 m), intense (up to 1.5 mug chl a L-1), and contributes 30 - 50% of column production. By March the SCM is deep (100 m or greater), less intense (about 0.5 mug chl a L-1), and contributes at most 20% of column production. The existence of a SCM in a HNLC region is surprising, and we consider a number of possible explanations. The SCM may be partly explained by changes in C:chl a ratios, but phytoplankton species composition in the SCM also differs from that in the mixed layer. Sinking of diatoms, mediated by Fe and/or silicic acid availability, appears to play an important role in the formation and maintenance of the SCM.</t>
  </si>
  <si>
    <t>CSIRO, Marine Labs, Hobart, Tas 7001, Australia; Univ Otago, Dept Chem, NIWA Ctr Chem &amp; Phys Oceanog, Dunedin 9001, New Zealand; Antarctic Cooperat Res Ctr, Hobart, Tas, Australia</t>
  </si>
  <si>
    <t>Commonwealth Scientific &amp; Industrial Research Organisation (CSIRO); University of Otago</t>
  </si>
  <si>
    <t>CSIRO, Marine Labs, GPO Box 1538, Hobart, Tas 7001, Australia.</t>
  </si>
  <si>
    <t>John.Parslow@csiro.au; pboyd@alkali.otago.ac.nz; Steve.Rintoul@csiro.au; Brian.Griffiths@csiro.au</t>
  </si>
  <si>
    <t>Rintoul, Stephen R/A-1471-2012; Boyd, Philip/J-7624-2014</t>
  </si>
  <si>
    <t>Rintoul, Stephen R/0000-0002-7055-9876; Boyd, Philip/0000-0001-7850-1911</t>
  </si>
  <si>
    <t>10.1029/2000JC000322</t>
  </si>
  <si>
    <t>WOS:000173402400042</t>
  </si>
  <si>
    <t>Hutchins, DA; Sedwick, PN; DiTullio, GR; Boyd, PW; Quéguiner, B; Griffiths, FB; Crossley, C</t>
  </si>
  <si>
    <t>Control of phytoplankton growth by iron and silicic acid availability in the subantarctic Southern Ocean:: Experimental results from the SAZ Project</t>
  </si>
  <si>
    <t>SUB-ANTARCTIC REGION; EQUATORIAL PACIFIC; ENRICHMENT EXPERIMENTS; MARINE-PHYTOPLANKTON; UPWELLING REGIME; ARCTIC PACIFIC; SCOTIA SEAS; NEW-ZEALAND; LIMITATION; WATERS</t>
  </si>
  <si>
    <t>Subantarctic Southern Ocean surface waters in the austral summer and autumn are characterized by high concentrations of nitrate and phosphate but low concentrations of dissolved iron (Fe, similar to0.05 nM) and silicic acid (Si, &lt;1 muM). During the Subantarctic Zone AU9706 cruise in March 1998 we investigated the relative importance of Fe and Si in controlling phytoplankton growth and species composition at a station within the subantarctic water mass (46.8degreesS, 142degreesE) using shipboard bottle incubation experiments. Treatments included unamended controls; 1.9 nM added iron (+Fe); 9 muM added silicic acid (+Si); and 1.9 nM added iron plus 9 muM added silicic acid (+Fe+Si). We followed a detailed set of biological and biogeochemical parameters over 8 days. Fe added alone clearly increased community growth rates and nitrate drawdown and altered algal community composition relative to control treatments. Surprisingly, small, lightly silicified pennate diatoms grew when Fe was added either with or without Si, despite the extremely low ambient silicic acid concentrations. Pigment analyses suggest that lightly silicified chrysophytes (type 4 haptophytes) may have preferentially responded to Si added either with or without Fe. However, for many of the parameters measured the +Fe+Si treatments showed large increases relative to both the +Fe and +Si treatments. Our results suggest that iron is the proximate limiting nutrient for chlorophyll production, photosynthetic efficiency, nitrate drawdown, and diatom growth, but that Si also exerts considerable control over algal growth and species composition. Both nutrients together are needed to elicit a maximum growth response, suggesting that both Fe and Si play important roles in structuring the subantarctic phytoplankton community.</t>
  </si>
  <si>
    <t>Univ Delaware, Coll Marine Studies, Lewes, DE 19958 USA; Antarctic CRC, Hobart, Tas, Australia; Univ Charleston, Grice Marine Lab, Charleston, SC USA; Univ Otago, NIWA Ctr Chem &amp; Phys Oceanog, Dunedin, New Zealand; Ctr Oceanol Marseille, Marseille, France; CSIRO, Div Marine Res, Hobart, Tas, Australia; CSIRO, Div Marine Res, Hobart, Tas, Australia; Univ Tasmania, Inst Antarctic &amp; So Ocean Studies, Hobart, Tas 7001, Australia</t>
  </si>
  <si>
    <t>University of Delaware; College of Charleston; University of Otago; Commonwealth Scientific &amp; Industrial Research Organisation (CSIRO); Commonwealth Scientific &amp; Industrial Research Organisation (CSIRO); University of Tasmania</t>
  </si>
  <si>
    <t>Univ Delaware, Coll Marine Studies, Lewes, DE 19958 USA.</t>
  </si>
  <si>
    <t>dahutch@udel.edu</t>
  </si>
  <si>
    <t>Quéguiner, Bernard/B-4060-2008; Hutchins, David A/D-3301-2013; Boyd, Philip/J-7624-2014</t>
  </si>
  <si>
    <t>Quéguiner, Bernard/0000-0001-5020-8297; Hutchins, David A/0000-0002-6637-756X; Sedwick, Peter/0000-0003-0663-8323; Boyd, Philip/0000-0001-7850-1911</t>
  </si>
  <si>
    <t>10.1029/2000JC000333</t>
  </si>
  <si>
    <t>WOS:000173402400043</t>
  </si>
  <si>
    <t>Boyd, PW; Crossley, AC; DiTullio, GR; Griffiths, FB; Hutchins, DA; Queguiner, B; Sedwick, PN; Trull, TW</t>
  </si>
  <si>
    <t>Control of phytoplankton growth by iron supply and irradiance in the subantarctic Southern Ocean: Experimental results from the SAZ Project</t>
  </si>
  <si>
    <t>EQUATORIAL PACIFIC-OCEAN; SUB-ARCTIC PACIFIC; MARINE-PHYTOPLANKTON; ANTARCTIC REGION; DIATOM GROWTH; IN-SITU; LIMITATION; LIGHT; PHOTOSYNTHESIS; PRODUCTIVITY</t>
  </si>
  <si>
    <t>The influence of irradiance and iron (Fe) supply on phytoplankton processes was investigated, north (47degreesS, 142degreesE) and south (54degreesS, 142degreesE) of the Subantarctic Front in austral autumn (March 1998). At both sites, resident cells exhibited nutrient stress (F-v/F-m &lt; 0.3). Shipboard perturbation experiments examined two light (mean in situ and elevated) and two Fe (nominally 0.5 and 3 nM) treatments under silicic acid-replete conditions. Mean in situ light levels (derived from incident irradiances, mixed layer depths (MLDs), wind stress, and a published vertical mixing model) differed at the two sites, 25% of incident irradiance I-0 at 47degreesS and 9% I-0 at 54degreesS because of MLDs of 40 (47degreesS) and 90 m (54degreesS), when these stations were occupied. The greater MLD at 54degreesS is reflected by tenfold higher cellular chlorophyll a levels in the resident phytoplankton. In the 47 S experiment, chlorophyll a levels increased to &gt;1 mug L-1 only in the high-Fe treatments, regardless of irradiance levels, suggesting Fe limitation. This trend was also noted for cell abundances, silica production, and carbon fixation rates. In contrast, in the 54degreesS experiment there were increases in chlorophyll a (to &gt;2 mug L-1), cell abundances, silica production, and carbon fixation only in the high-light treatments to which Fe had been added, suggesting that Fe and irradiance limit algal growth rates. Irradiance by altering algal Fe quotas is a key determinant of algal growth rate at 54degreesS (when silicic acid levels are nonlimiting); however, because of the integral nature of Fe/light colimitation and the restricted nature of the current data set, it was not possible to ascertain the relative contributions of Fe and irradiance to the control of phytoplankton growth. On the basis of a climatology of summer mean MLD for subantarctic (SA) waters south of Australia the 47degrees and 54degreesS sites appear to represent minimum and maximum MLDs, where Fe and Fe/ irradiance, respectively, may limit/colimit algal growth. The implications for changes in the factors limiting algal growth with season in SA waters are discussed.</t>
  </si>
  <si>
    <t>Univ Otago, Dept Chem, Natl Inst Water &amp; Atmospher Res, Ctr Chem &amp; Phys Oceanog, Dunedin 9001, New Zealand; Univ Tasmania, Inst Antarctic &amp; So Ocean Studies, Hobart, Tas 7001, Australia; Univ Charleston, Grice Marine Lab, Charleston, SC 29412 USA; CSIRO, Div Marine Res, Hobart, Tas 7001, Australia; Univ Delaware, Coll Marine Studies, Lewes, DE 19958 USA; Ctr Oceanol Marseille, UMR CNRS 6535, Lab Oceanog &amp; Biogeochim, F-13288 Marseille 09, France; Antarctic CRC, Hobart, Tas 7001, Australia</t>
  </si>
  <si>
    <t>University of Otago; National Institute of Water &amp; Atmospheric Research (NIWA) - New Zealand; University of Tasmania; College of Charleston; Commonwealth Scientific &amp; Industrial Research Organisation (CSIRO); University of Delaware; Centre National de la Recherche Scientifique (CNRS)</t>
  </si>
  <si>
    <t>Univ Otago, Dept Chem, Natl Inst Water &amp; Atmospher Res, Ctr Chem &amp; Phys Oceanog, Dunedin 9001, New Zealand.</t>
  </si>
  <si>
    <t>pboyd@alkali.otago.ac.nz</t>
  </si>
  <si>
    <t>Quéguiner, Bernard/B-4060-2008; Trull, Tom W/B-7028-2014; Hutchins, David A/D-3301-2013; Boyd, Philip/J-7624-2014</t>
  </si>
  <si>
    <t>Quéguiner, Bernard/0000-0001-5020-8297; Hutchins, David A/0000-0002-6637-756X; Boyd, Philip/0000-0001-7850-1911; Sedwick, Peter/0000-0003-0663-8323</t>
  </si>
  <si>
    <t>10.1029/2000JC000348</t>
  </si>
  <si>
    <t>WOS:000173402400044</t>
  </si>
  <si>
    <t>DiTullio, GR; Sedwick, PN; Jones, DR; Boyd, PW; Crossley, AC; Hutchins, DA</t>
  </si>
  <si>
    <t>Effects of iron, silicate, and light on dimethylsulfoniopropionate production in the Australian Subantarctic Zone</t>
  </si>
  <si>
    <t>SOUTHERN-OCEAN; DIMETHYL SULFIDE; ROSS SEA; PHYTOPLANKTON GROWTH; PHAEOCYSTIS-ANTARCTICA; MARINE-PHYTOPLANKTON; ATMOSPHERIC SULFUR; CLOUD ALBEDO; CARBON; BLOOM</t>
  </si>
  <si>
    <t>Shipboard bottle incubation experiments were performed to investigate the effects of iron, light, and silicate on algal production of particulate dimethylsulfoniopropionate (DMSPp) in the Subantarctic Zone (SAZ) south of Tasmania during March 1998. Iron enrichment resulted in threefold to ninefold increases in DMSPp concentrations relative to control treatments, following 7 and 8-day incubation experiments. Additions of Fe and Si preferentially stimulated the growth of lightly-silicified pennate diatoms and siliceous haptophytes, respectively, to which we attribute the increased DMSPp production in the incubation bottles. Both of these algal groups were previously believed to be low DMSPp producers; however, our experimental data suggest that addition of iron and silicate to the low-silicate low-iron waters of the SAZ will result in increased production of DMSPp by lightly silicified diatoms and siliceous haptophytes, respectively. Increased irradiance enhanced DMSPp production in iron-amended treatments with both low (0.5 nM) and high (5 nM) concentrations of added iron. However, the role of light in stimulating DMSPp production was apparently of secondary importance compared to the effects of iron addition. The combination of high irradiance and high iron enrichment produced the highest DMSPp production in the experiments, suggesting that iron and light may have a synergistic effect in limiting algal DMSPp production in subantarctic waters.</t>
  </si>
  <si>
    <t>Univ Charleston, Grice Marine Lab, Charleston, SC 29412 USA; Antarctic CRC, Hobart, Tas 7001, Australia; Univ Otago, Natl Inst Water &amp; Atmospher Res, Ctr Chem Oceanog, Dept Chem, Dunedin 9001, New Zealand; Univ Tasmania, Inst Antarctic &amp; So Ocean Studies, Hobart, Tas 7001, Australia; Univ Delaware, Coll Marine Studies, Lewes, DE 19958 USA</t>
  </si>
  <si>
    <t>College of Charleston; University of Otago; National Institute of Water &amp; Atmospheric Research (NIWA) - New Zealand; University of Tasmania; University of Delaware</t>
  </si>
  <si>
    <t>Univ Charleston, Grice Marine Lab, 205 Ft Johnson, Charleston, SC 29412 USA.</t>
  </si>
  <si>
    <t>DiTullioJ@Cofc.edu</t>
  </si>
  <si>
    <t>Hutchins, David A/D-3301-2013; Boyd, Philip/J-7624-2014</t>
  </si>
  <si>
    <t>Hutchins, David A/0000-0002-6637-756X; Sedwick, Peter/0000-0003-0663-8323; Boyd, Philip/0000-0001-7850-1911</t>
  </si>
  <si>
    <t>10.1029/2000JC000446</t>
  </si>
  <si>
    <t>WOS:000173402400045</t>
  </si>
  <si>
    <t>Kopczynska, EE; Dehairs, F; Elskens, M; Wright, S</t>
  </si>
  <si>
    <t>Phytoplankton and microzooplankton variability between the Subtropical and Polar Fronts south of Australia: Thriving under regenerative and new production in late summer</t>
  </si>
  <si>
    <t>MARGINAL ICE-ZONE; NORTHWESTERN WEDDELL SEA; ANTARCTIC PHYTOPLANKTON; COMMUNITY STRUCTURE; NARRAGANSETT-BAY; PLANKTON DIATOMS; CONFLUENCE AREA; ATLANTIC SECTOR; SURFACE WATERS; CARBON-DIOXIDE</t>
  </si>
  <si>
    <t>Phytoplankton, microzooplankton were studied along a 42degrees-55degreesS, 141degrees-143degreesE transect in March 1998 and compared with production-related parameters (carbon biomass, chlorophyll a, nitrogen and carbon uptake, and f ratios). The transect crossed the Subtropical Front (STF), the Subantarctic Front (SAF), and the Polar Front (PF). Phytoplankton assemblages were dominated by nano- and pico-sized flagellates; their peak numbers (nanoflagellates: 8.2 x 10(5) cells L-1) occurred in the areas of STF and within the Subantarctic Zone (SAZ). North of the SAF, dinoflagellates were next in abundance. Diatoms exceeded dinoflagellates in the PF area (maximum 1.26 x 10(5) cells L-1). Dinoflagellates were dominated by nano-sized gymnodinioid forms with microplanktonic species increasing in numbers in SAZ and STF. Diatoms contained mainly Fragilariopsis pseudonana and Pseudonitzschia lineola; several abundant species exibited a latitudinally restricted distribution. Phytoplankton carbon biomass was dominated by dinoflagellates (including &gt;20 mum heterotrophs) representing 48 to 84% of total cell carbon. Maxima of 18-26 mug C L-1 occured both at STF and PF. Heterotrophic dinoflagellates and ciliates showed similar distributions. Their peaks of cell densities and carbon in STF and SAZ were associated with phytoplankton maxima. Microzooplankton cell distribution and biomass suggest they are major grazers and contributors to carbon flow. Phytoplankton assemblages represented at least three stages with different relative contributions of regenerative and new production. Production related parameters (e.g., low f ratio and high NH4+ uptake) point to the presence of regenerative community at the STF. It attracted the highest concentration of micro zooplankton. The phytoplankton community associated with a frontal feature (46degrees-47degreesS) within the SAZ, thrived under increased new production (e.g., relatively higher f ratio and NO3- uptake). The community along 47degrees-55degreesS was characterized by intermediate f ratios, with slight predominance of regenerated production. Southward of 47degreesS, the relative contribution of new production increased.</t>
  </si>
  <si>
    <t>Polish Acad Sci, Dept Antarctic Biol, PL-02141 Warsaw, Poland; Free Univ Brussels, B-1050 Brussels, Belgium; Australian Antarctic Div, Kingston, Tas 7050, Australia</t>
  </si>
  <si>
    <t>Polish Academy of Sciences; Universite Libre de Bruxelles; Australian Antarctic Division</t>
  </si>
  <si>
    <t>Polish Acad Sci, Dept Antarctic Biol, Ustrzyeka 10-12, PL-02141 Warsaw, Poland.</t>
  </si>
  <si>
    <t>elzbieta@dab.waw.pl; fdehairs@vub.ac.be; Simon.Wright@antdiv.gov.au</t>
  </si>
  <si>
    <t>Kavouras, Ilias G/H-7056-2012; Kavouras, Ilias/AAQ-9623-2020</t>
  </si>
  <si>
    <t>Kavouras, Ilias G/0000-0003-0436-3784; Kavouras, Ilias/0000-0003-0436-3784; Elskens, Marc/0000-0002-8862-9422</t>
  </si>
  <si>
    <t>10.1029/2000JC000278</t>
  </si>
  <si>
    <t>WOS:000173402400046</t>
  </si>
  <si>
    <t>Clementson, LA; Parslow, JS; Turnbull, AR; McKenzie, DC; Rathbone, CE</t>
  </si>
  <si>
    <t>Optical properties of waters in the Australasian sector of the Southern Ocean</t>
  </si>
  <si>
    <t>SUB-ANTARCTIC REGION; ZONE COLOR SCANNER; THALASSIOSIRA-PSEUDONANA; PHYTOPLANKTON PIGMENT; BIOOPTICAL PROPERTIES; DIADINOXANTHIN CYCLE; MARINE-PHYTOPLANKTON; PACIFIC OCEAN; CHATHAM RISE; NEW-ZEALAND</t>
  </si>
  <si>
    <t>During March 1998 we studied in situ bio-optical parameters along a north-south transect (142?degreesE) between 42degrees and 55?degreesS. Surface chorophyll a (chl a) reflected mixed layer chl a concentrations and showed a general decrease with increasing latitude. Changes in chl a concentration often coincided with physical boundaries, and differences in fluorescence yield and photoadaption by the phytoplankton were observed north and south of the Subantarctic Front. In this region chromophoric dissolved organic matter (CDOM) absorption, generally exceeded phytoplankton pigment absorption at 443 nm. Satellite-derived chl a, using the Sea-viewing Wide Field-of-view Sensor (SeaWiFS) OC4 algorithm, generally underestimated the in situ chl a concentration except in areas of low chl a (&lt;0.15 mg m(-3)) where the SeaWiFS algorithm was found to overestimate in situ chl a.</t>
  </si>
  <si>
    <t>CSIRO, Marine Res, Hobart, Tas 7001, Australia; Antarctic Cooperat Res Ctr, Hobart, Tas, Australia</t>
  </si>
  <si>
    <t>Clementson, LA (corresponding author), CSIRO, Marine Res, Castray Esplanade, Hobart, Tas 7001, Australia.</t>
  </si>
  <si>
    <t>Clementson, Lesley A/M-6905-2013</t>
  </si>
  <si>
    <t>Turnbull, Alison/0000-0001-5701-8728</t>
  </si>
  <si>
    <t>10.1029/2000JC000359</t>
  </si>
  <si>
    <t>WOS:000173402400047</t>
  </si>
  <si>
    <t>Featherstone, AM; Butler, ECV; O'Grady, BV</t>
  </si>
  <si>
    <t>Meridional distribution of arsenic species in the subantarctic zone of the Southern Ocean, south of Australia</t>
  </si>
  <si>
    <t>NORTH-ATLANTIC OCEAN; SUB-ANTARCTIC REGION; MARINE-ENVIRONMENT; NATURAL-WATERS; RIVER BEAULIEU; SPECIATION; SEAWATER; ANTIMONY; BEHAVIOR; ESTUARY</t>
  </si>
  <si>
    <t>Distribution of the arsenic species total inorganic arsenic [As(V+III)], arsenite [As(III)], monomethyl arsenic (MMA), and dimethyl arsenic (DMA) was studied in the Subantarctic Zone (SAZ) of the Southern Ocean, south of Australia, during the austral autumn (March 1998). As(V) was the dominant arsenic species in both vertical profiles and surface waters along the meridional transect 42degrees-55degreesS, 141degrees30'E. It was also the only species observed at depths &gt;600 m. Concentrations of the reduced arsenic species (As(III), MMA, and DMA) were low in these waters compared with other oceanic sites with similar concentrations of chlorophyll a. As(III) concentrations could not be reliably quantified at any sites (&lt;0.04 nM). The greatest conversion of As(V) to biological species was found at the surface in the Subtropical Convergence Zone (2.5%) and decreased heading southward to 1% in the Polar Front (PF). While the decline in methyl arsenic concentrations was broadly associated with water temperature and measures of biological production, slightly different trends were found in the SAZ and PF. North of the Subantarctic Front (SAF), methyl arsenic concentrations were well correlated with water temperature, while south of the front, no such relation existed. In addition, the ratio DMA/MMA increased south of the SAF, associated with a change in the microalgal community composition. Low water temperature, phosphate-replete conditions, and low biological productivity in the Southern Ocean all contribute to the concentrations of biologically produced arsenic species in this region being among the lowest reported for oceanic waters.</t>
  </si>
  <si>
    <t>Univ Tasmania, Sch Chem, Hobart, Tas 7001, Australia; CSIRO, Marine Res, Hobart, Tas 7001, Australia; Univ Tasmania, Antarctic CRC, Hobart, Tas, Australia</t>
  </si>
  <si>
    <t>University of Tasmania; Commonwealth Scientific &amp; Industrial Research Organisation (CSIRO); University of Tasmania</t>
  </si>
  <si>
    <t>Featherstone, AM (corresponding author), Univ Tasmania, Sch Chem, GPO Box 252-75, Hobart, Tas 7001, Australia.</t>
  </si>
  <si>
    <t>Alison.Featherstone@utas.edu.au; Ed.Butler@marine.csiro.au; Barry.Ogrady@utas.edu.au</t>
  </si>
  <si>
    <t>Butler, Edward/0000-0002-6660-3985</t>
  </si>
  <si>
    <t>10.1029/2000JC000326</t>
  </si>
  <si>
    <t>WOS:000173402400050</t>
  </si>
  <si>
    <t>O'Leary, T; Trull, TW; Griffiths, FB; Tilbrook, B; Revill, AT</t>
  </si>
  <si>
    <t>Euphotic zone variations in bulk and compound-specific δ13C of suspended organic matter in the subantarctic ocean, south of Australia</t>
  </si>
  <si>
    <t>CARBON-ISOTOPE FRACTIONATION; MARINE-PHYTOPLANKTON; GROWTH-RATE; PLANKTON DELTA-C-13; C-13 FRACTIONATION; SURFACE WATERS; INDIAN-OCEAN; BORIC-ACID; SEA-WATER; CO2</t>
  </si>
  <si>
    <t>The carbon isotopic compositions of suspended organic matter delta(13)C(POC) collected from Subantarctic Zone surface waters south of Australia in November 1995 decrease southward from -20 to -26parts per thousand and display strong correlations with aqueous carbon dioxide concentration ([CO2]aq), consistent with previous studies. In contrast, vertical profiles through the euphotic zone (topsimilar to100 m) of delta(13)C(POC) at six stations display decreases with depth of up to 2.4parts per thousand. These decreases in delta(13)C(POC) cannot be fully explained by the small vertical variations in [CO2]aq or its C-13 content. Carbon 13 analyses of several individual sterols revealed similar isotopic changes with depth, suggesting that they derive from a fundamental depth control on primary production, rather than from algal community variations or remineralization processes. Growth rate mu appears to be the most likely source of the depth variations. The relationship between mu/[CO2]aq and delta(13)C(POC) derived from surface water samples can explain the vertical variations of delta(13)C(POC) within the mixed layer, provided integrated mixed layer growth rates are used. Below the mixed layer, differences between the observed delta(13)C(POC) and the growth rate model can be explained by recent shallowing in mixed layer depth and the subsequent effect on growth rates. These results suggest that delta(13)C(POC) determinations can be used to provide some information on the recent history of mixed layer processes and that interpretation of sedimentary delta(13)C(POC) records should include consideration of possible growth rate and mixed layer depth variations.</t>
  </si>
  <si>
    <t>Univ Tasmania, Inst Antarctic &amp; So Ocean Studies, Hobart, Tas 7001, Australia; Univ Tasmania, Antarctic Cooperat Res Ctr, Hobart, Tas, Australia; CSIRO, Div Marine Res, Hobart, Tas 7001, Australia</t>
  </si>
  <si>
    <t>University of Tasmania; University of Tasmania; Commonwealth Scientific &amp; Industrial Research Organisation (CSIRO)</t>
  </si>
  <si>
    <t>Univ Tasmania, Inst Antarctic &amp; So Ocean Studies, GPO Box 252-77, Hobart, Tas 7001, Australia.</t>
  </si>
  <si>
    <t>teresa.oleary@utas.edu.au; tom.trull@utas.edu.au</t>
  </si>
  <si>
    <t>Trull, Tom W/B-7028-2014; Tilbrook, Bronte/W-4007-2019; Revill, Andrew/B-8733-2011</t>
  </si>
  <si>
    <t>Tilbrook, Bronte/0000-0001-9385-3827; Revill, Andrew/0000-0003-2486-5976</t>
  </si>
  <si>
    <t>10.1029/2000JC000288</t>
  </si>
  <si>
    <t>WOS:000173402400051</t>
  </si>
  <si>
    <t>Pouliquen, G; Gallet, Y; Dyment, J; Patriat, P; Tamura, C</t>
  </si>
  <si>
    <t>A geomagnetic record over the last 3.5 million years from deep-tow magnetic anomaly profiles across the Central Indian Ridge (vol 106, pg 10941, 2001)</t>
  </si>
  <si>
    <t>High-resolution records of the geomagnetic field intensity over the last 3.5 Myr provided by paleomagnetic analyses of marine sediments and volcanics have shown the occurrence of short-lived low field intensity features associated with excursions or short polarity intervals. In order to evaluate the ability of marine magnetic anomalies to record the same geomagnetic events, we have collected six deep-tow (similar to500 m above the seafloor) and several sea surface magnetic anomaly profiles from the Central Indian Ridge across the Brunhes, Matuyama, and Gauss chrons (i.e., from the ridge axis to anomaly 2A). After removal of topography, latitude, and azimuth effects, we converted distances into time sequences using well-dated polarity reversal anomalies as tie points. We calculated the average signal to test the robustness of the short-wavelength anomalies. The resulting stacked profile is very similar to stacked sea surface and downward continued profiles from the Central Indian Ridge, the East Pacific Rise, and the Pacific-Antarctic Ridge. Our results suggest that in addition to polarity reversals, geomagnetic field intensity variations represent the major contributor to the detailed shape of recent marine magnetic anomalies in investigated areas. We observe a dense succession of microanomalies that are correlated to previously suggested geomagnetic events (subchrons or excursions) within the Brunhes and Matuyama chrons. A new small-scale magnetic anomaly, likely generated by several closely spaced excursions (Ontong Java 1 and 2, and Gilsa), is found after the Olduvai chron. The near-bottom results support the existence of three geomagnetic features between the Gauss-Matuyama boundary and Olduvai. They also suggest three geomagnetic events during the C2A. In subchron within the Gauss chron. This study emphasizes the potential of deep-tow magnetic surveys in detecting fluctuations in geomagnetic field intensity and, in particular, short-lived excursions, a poorly constrained part of the geomagnetic field temporal variation spectrum.</t>
  </si>
  <si>
    <t>Dyment, Jérôme/A-6788-2011</t>
  </si>
  <si>
    <t>DEC 10</t>
  </si>
  <si>
    <t>B12</t>
  </si>
  <si>
    <t>10.1029/2001JB001637</t>
  </si>
  <si>
    <t>512JG</t>
  </si>
  <si>
    <t>WOS:000173320800007</t>
  </si>
  <si>
    <t>Ritzwoller, MH; Shapiro, NM; Levshin, AL; Leahy, GM</t>
  </si>
  <si>
    <t>Crustal and upper mantle structure beneath Antarctica and surrounding oceans</t>
  </si>
  <si>
    <t>SOUTHEAST INDIAN-OCEAN; MARIE-BYRD-LAND; GROUP-VELOCITY; WAVE PROPAGATION; RAYLEIGH-WAVES; EARTHS CRUST; SEISMIC VELOCITIES; WEST ANTARCTICA; EAST ANTARCTICA; HIGH-RESOLUTION</t>
  </si>
  <si>
    <t>We present and discuss a new model of the crust and upper mantle at high southern latitudes that is produced from a large, new data set of fundamental mode surface wave dispersion measurements. The inversion for a 2degrees x 2degrees shear velocity model breaks into two principal steps: first, surface wave tomography in which dispersion maps are produced for a discrete set of periods for each wave type (Rayleigh group velocity, 18-175 s; Love group velocity, 20-150 s; Rayleigh and Love phase velocity, 40-150 s) and, second, inversion for a shear velocity model. In the first step, we estimate average resolution at high southern latitudes to be about 600 km for Rayleigh waves and 700 km for Love waves. The second step is a multistage process that culminates in a Monte Carlo inversion yielding an ensemble of acceptable models at each spatial node. The middle of the ensemble (median model) together with the half width of the corridor defined by the ensemble summarize the results of the inversion. The median model fits the dispersion maps at about the measurement error (group velocities, 20-25 m/s; phase velocities, 10-15 m/s) and the dispersion data themselves at about twice the measurement error. We refer to the features that appear in every member of the ensemble as persistent. Some of persistent features are the following: (1) Crustal thickness averages similar to27 km in West Antarctica and similar to40 km in East Antarctica, with maximum thicknesses approaching 45 km. (2) Although the East Antarctic craton displays variations in both maximum velocity and thickness, it appears to be a more or less average craton. (3) The upper mantle beneath much of West Antarctica is slow and beneath the West Antarctic Rift is nearly indistinguishable from currently dormant extensional regions such as the western Mediterranean and the Sea of Japan. Our model is therefore consistent with evidence of active volcanism underlying the West Antarctic ice sheet, and we hypothesize that the West Antarctic Rift is the remnant of events of lithospheric rejuvenation in the recent past that are now quiescent. (4) The Australian-Antarctic Discordance is characterized by a moderately high velocity lid to a depth of 70-80 km with low velocities wrapping around the discordance to the south. There is a weak trend of relatively high velocities dipping to the west at greater depths that requires further concentrated efforts to resolve. (5) The strength of radial anisotropy (nu(sh) - nus(nu))/nus(nu) in the uppermost mantle across the Southern Hemisphere averages similar to4%, similar to the Preliminary Reference Earth Model. Radial anisotropy appears to be slightly stronger in West Antarctica than in East Antarctica and in the thinner rather than the thicker regions of the East Antarctic craton.</t>
  </si>
  <si>
    <t>Univ Colorado, Dept Phys, Ctr Imaging Earths Interior, Boulder, CO 80309 USA</t>
  </si>
  <si>
    <t>University of Colorado System; University of Colorado Boulder</t>
  </si>
  <si>
    <t>Univ Colorado, Dept Phys, Ctr Imaging Earths Interior, Campus Box 390, Boulder, CO 80309 USA.</t>
  </si>
  <si>
    <t>ritzwoller@ciei.colorado.edu; nshapiro@ciei.colorado.edu; levshin@ciei.colorado.edu; leahyg@ciei.colorado.edu</t>
  </si>
  <si>
    <t>Leahy, Garrett M/B-1107-2008; Shapiro, Nikolai M/G-1049-2010</t>
  </si>
  <si>
    <t>Shapiro, Nikolai/0000-0002-0144-723X</t>
  </si>
  <si>
    <t>10.1029/2001JB000179</t>
  </si>
  <si>
    <t>WOS:000173320800015</t>
  </si>
  <si>
    <t>Tamisiea, ME; Mitrovica, JX; Milne, GA; Davis, JL</t>
  </si>
  <si>
    <t>Global geoid and sea level changes due to present-day ice mass fluctuations</t>
  </si>
  <si>
    <t>GLACIAL ISOSTATIC-ADJUSTMENT; LATE PLEISTOCENE; MANTLE VISCOSITY; LATE HOLOCENE; RISE; PREDICTIONS; FIELD; BALANCE; TRENDS; SHEETS</t>
  </si>
  <si>
    <t>We predict gravitationally self-consistent global geoid and relative sea level (RSL) perturbations due to present-day melting of ice complexes, including the Antarctic and Greenland ice sheets and a suite of mountain glaciers and ice sheets. Classic analyses of sea level change indicate that these perturbations will depart significantly from eustatic (i.e., geographically uniform) trends [e.g., Woodward, 1888; Farrell and Clark, 1976], although this result has not always been appreciated in modern analyses. Mass flux of individual ice reservoirs will produce unique geometries of sea level change, and this distinctiveness admits the possibility of using global geoid, sea surface, and RSL signatures of recent climate change to infer the ongoing mass balance of each reservoir rather than simply the net mass flux. As an example, we show that perturbations to the geoid arising from noneustatic water loads associated with each ice reservoir are sufficiently large (at low degrees) to be theoretically measurable within 5 years by the GRACE satellite mission. We complete the study by reanalyzing tide gauge data at 23 sites selected by Douglas [1997] in a recent analysis of global RSL rise. Traditionally, estimates of global sea level rise are generated by taking the mean of a set of secular tide gauge trends that have been corrected for the influence of ongoing glacial isostatic adjustment (GIA) related to the late Pleistocene glacial cycles. The common assumption in such studies is that the geographic scatter in the residual, GIA-corrected trends is due to errors in the GIA model or unmodeled processes (e.g., tectonics). We consider a large suite of GIA model predictions and apply a least squares approach to the GIA-corrected tide gauge trends to estimate the weighting of various present-day sea level signatures. We find that the fit to the residual RSL trends is significantly improved and that the procedure is able to resolve a long-standing observation of anomalously low sea level rates in Europe. This preliminary analysis, which is relatively insensitive to changes in the assumed geometry of the present-day mass balance, assumes that ocean thermal expansion is globally uniform. However, the procedure can be easily extended to incorporate a realistic steric contribution once the geometry of the process is sufficiently well constrained.</t>
  </si>
  <si>
    <t>Univ Toronto, Dept Phys, Toronto, ON M5S 1A7, Canada; Univ Durham, Dept Geol Sci, Durham DH1 3LE, England; Harvard Smithsonian Ctr Astrophys, Cambridge, MA 02138 USA</t>
  </si>
  <si>
    <t>University of Toronto; Durham University; Smithsonian Institution; Harvard University; Smithsonian Astrophysical Observatory</t>
  </si>
  <si>
    <t>Univ Toronto, Dept Phys, 60 St George St, Toronto, ON M5S 1A7, Canada.</t>
  </si>
  <si>
    <t>tamisiea@physics.utoronto.ca</t>
  </si>
  <si>
    <t>Davis, James/D-8766-2013</t>
  </si>
  <si>
    <t>Davis, James/0000-0003-3057-477X</t>
  </si>
  <si>
    <t>10.1029/2000JB000011</t>
  </si>
  <si>
    <t>WOS:000173320800029</t>
  </si>
  <si>
    <t>Rickers, K; Mezger, K; Raith, MM</t>
  </si>
  <si>
    <t>Evolution of the Continental Crust in the Proterozoic Eastern Ghats Belt, India and new constraints for Rodinia reconstruction: implications from Sm-Nd, Rb-Sr and Pb-Pb isotopes</t>
  </si>
  <si>
    <t>PRECAMBRIAN RESEARCH</t>
  </si>
  <si>
    <t>Eastern Ghats Belt; Rodinia reconstruction; Sr-Nd-Pb isotopes; crustal evolution; model ages</t>
  </si>
  <si>
    <t>SOUTH-INDIA; LEAD-ISOTOPE; U-PB; ENDERBY LAND; NEOPROTEROZOIC BREAKUP; SAPPHIRINE GRANULITES; RAPID PRODUCTION; TRANSITION ZONE; ARCHEAN CRUST; TAMIL-NADU</t>
  </si>
  <si>
    <t>For this study Nd, Sr and Pb isotope compositions were analyzed for ortho- and paragneisses from the Eastern Ghats Belt of India in order to determine its crust formation and crustal evolution. This belt represents a Proterozoic orogen that extends along the east coast of Peninsular India and forms part of the mobile belts in East Gondwana and Rodinia. The Eastern Ghats Belt was affected by Mesoproterozoic granulite facies metamorphism in the western segment (Western Charnockite Zone) and a Grenvillian regional-scale high-grade event in the central and eastern segments (Western Khondalite Zone, Charnockite Migmatite Zone and Eastern Khondalite Zone) as well as a local Pan-African overprint. The results of the isotope studies are used for the large-scale reconstruction of the indo-antarctic part of the Rodinia supercontinent. Based on Nd model ages and Pb isotope ratios from leached feldspars four crustal domains can be distinguished in the Eastern Ghats Belt. These domains can in part be correlated with the lithological division of the belt: (1) The Western Charnockite Zone south of the Godavari Graben is characterized by Nd model ages between 2.3 and 2.5 Ga for orthogneisses and 2.6 and 2.8 Ga for metasediments (Domain 1). The Pb isotopes are primitive indicating reworking of dominantly Archean and mixing with minor Proterozoic material; (2) North of Godavari Graben Nd model ages for orthogneisses are significantly higher with values ranging from 3.2 to 3.9 Ga. The Pb isotopes are strongly retarded; (3) The north-eastern parts of the Charnockite Migmatite Zone and Western Khondalite Zone form a distinct and almost homogeneous crustal domain (Domain 3) with Nd model ages between 1.8 and 2.2 Ga; (4) Between the isotopically homogeneous terranes stretches a broad transition zone (Domain 2) enclosing parts of the Western Khondalite Zone, Charnockite Migmatite Zone and Eastern Khondalite Zone. The Nd model ages for metasediments (2.1-2.5 Ga) are younger than paragneiss ages of the adjoining Western Charnockite Zone. The Nd model ages for orthogneisses (1.8-3.2 Ga) display a large spread, which is consistent with the Pb isotope signatures that indicate mixing of Archean with Proterozoic material. The border zone between Domain 3 and the Archean Eastern Indian Craton forms a second transition zone (Domain 4) characterized by metasediments with Nd model ages between 2.2 and 2.8 Ga and orthogneisses with model ages around 3.2 Ga. Reworking of Archean crustal material is most intense along the border zones of the belt and 'juvenile' material is more dominant away from the orogenic front. This scenario is indicative of an active continental margin setting for the two Proterozoic episodes of orogenesis in the Eastern Ghats Belt. A correlation of Domain 3 with the Rayner Complex and the Prydz Bay region, Antarctica, for the early crustal evolution is supported by the similarity of the isotope signatures. The Napier Complex is very different to the Eastern Ghats Belt and an early joint evolution of these terranes is ruled out on the basis of the Pb-Pb and Sm-Nd systematics. (C) 2001 Elsevier Science B.V. All rights reserved.</t>
  </si>
  <si>
    <t>Univ Bonn, Mineral Petrol Inst, D-53115 Bonn, Germany; Univ Munster, Inst Mineral, D-48149 Munster, Germany</t>
  </si>
  <si>
    <t>University of Bonn; University of Munster</t>
  </si>
  <si>
    <t>DESY, HASYLAB, Notkestr 85, D-22603 Hamburg, Germany.</t>
  </si>
  <si>
    <t>rickers@mail.desy.de; klaush@nwz.uni-muenster.de; m.raith@uni-bonn.de</t>
  </si>
  <si>
    <t>Mezger, Klaus/D-9502-2011</t>
  </si>
  <si>
    <t>Mezger, Klaus/0000-0002-2443-8539</t>
  </si>
  <si>
    <t>0301-9268</t>
  </si>
  <si>
    <t>1872-7433</t>
  </si>
  <si>
    <t>PRECAMBRIAN RES</t>
  </si>
  <si>
    <t>Precambrian Res.</t>
  </si>
  <si>
    <t>10.1016/S0301-9268(01)00146-2</t>
  </si>
  <si>
    <t>498EP</t>
  </si>
  <si>
    <t>WOS:000172497100002</t>
  </si>
  <si>
    <t>Goodge, JW; Fanning, CM; Bennett, CV</t>
  </si>
  <si>
    <t>U-Pb evidence of ∼1.7 Ga crustal tectonism during the Nimrod Orogeny in the Transantarctic Mountains, Antarctica:: implications for Proterozoic plate reconstructions</t>
  </si>
  <si>
    <t>Paleoproterozoic; Antarctica; Orogeny; geochronology</t>
  </si>
  <si>
    <t>WESTERN UNITED-STATES; EAST-ANTARCTICA; GAWLER CRATON; BUNGER HILLS; ROSS OROGEN; ZIRCON AGES; RB-SR; AUSTRALIA; EVOLUTION; ECLOGITES</t>
  </si>
  <si>
    <t>The Pacific margin of East Antarctica records a long tectonic history of crustal growth and breakup, culminating in the early Paleozoic Ross Orogeny associated with Gondwanaland amalgamation. Periods of older tectonism have been proposed (e.g. Precambrian Nimrod and Beardmore Orogenies), but the veracity of these events is difficult to document because of poor petrologic preservation, geochronologic uncertainty due to isotopic resetting, and debated geological field relationships. Of these, the Nimrod Orogeny was originally proposed as a period of Neoproterozoic metamorphism and deformation within crystalline basement rocks of the Nimrod Group, based on similar to 1000 Ma K-Ar mineral ages. Later structural and thermochronologic study attributed major deformation features in the Nimrod Group to Ross-age basement reactivation. Yet, new SHRIMP ion microprobe U-Pb zircon age data for gneissic and metaigneous rocks of the Nimrod Group indicate a period of deep-crustal metamorphism and magmatism between similar to 1730-1720 Ma. Igneous zircons from gneissic Archean protoliths show metamorphic overgrowths of similar to 1730-1720 Ma, and an eclogitic block preserved within the gneisses contains zircons yielding an average metamorphic crystallization age of similar to 1720 Ma. Deformed granodiorite that intrudes the gneisses and associated metasedimentary rocks yields a concordant zircon crystallization age of similar to 1730 Ma. Despite scant petrologic evidence for these metamorphic and igneous events, the zircon ages from these diverse rock types indicate major crustal thickening, possibly due to collision, in the late Paleoproterozoic. We therefore recommend revival of the term Nimrod Orogeny to describe Paleoproterozoic tectonic events in rocks of the East Antarctic shield. Similarities in the ages of igneous and metamorphic events in the Nimrod Group and geologic units elsewhere in present-day East Antarctica, southern Australia and southwestern North America suggest they may have played a role in early supercontinent assembly. In particular, similarity with the Laurentian Mojave province is consistent with Proterozoic plate reconstructions joining ancestral East Antarctica with western Laurentia. (C) 2001 Elsevier Science B.V. All rights reserved.</t>
  </si>
  <si>
    <t>So Methodist Univ, Dept Geol Sci, Dallas, TX 75275 USA; Australian Natl Univ, Res Sch Earth Sci, Canberra, ACT 0200, Australia</t>
  </si>
  <si>
    <t>Southern Methodist University; Australian National University</t>
  </si>
  <si>
    <t>So Methodist Univ, Dept Geol Sci, Dallas, TX 75275 USA.</t>
  </si>
  <si>
    <t>jgoodge@mail.smu.edu</t>
  </si>
  <si>
    <t>Goodge, John/GQI-3878-2022; Fanning, Christopher Mark/I-6449-2016</t>
  </si>
  <si>
    <t>Bennett, Vickie/0000-0003-0937-3471; Goodge, John/0000-0003-2578-3147; Fanning, Christopher Mark/0000-0003-3331-3145</t>
  </si>
  <si>
    <t>10.1016/S0301-9268(01)00193-0</t>
  </si>
  <si>
    <t>WOS:000172497100005</t>
  </si>
  <si>
    <t>Gavaghan, H</t>
  </si>
  <si>
    <t>Researchers plan probe into Antarctic lakes</t>
  </si>
  <si>
    <t>MACMILLAN PUBLISHERS LTD</t>
  </si>
  <si>
    <t>PORTERS SOUTH, 4 CRINAN ST, LONDON N1 9XW, ENGLAND</t>
  </si>
  <si>
    <t>DEC 6</t>
  </si>
  <si>
    <t>10.1038/414573a</t>
  </si>
  <si>
    <t>498WB</t>
  </si>
  <si>
    <t>WOS:000172535600011</t>
  </si>
  <si>
    <t>Siegert, MJ; Ellis-Evans, JC; Tranter, M; Mayer, C; Petit, JR; Salamatin, A; Priscu, JC</t>
  </si>
  <si>
    <t>Physical, chemical and biological processes in Lake Vostok and other Antarctic subglacial lakes</t>
  </si>
  <si>
    <t>WATER EXCHANGE; ICE-CORE; BENEATH; CONSTRAINTS; STATION; MODEL</t>
  </si>
  <si>
    <t>Over 70 lakes have now been identified beneath the Antarctic ice sheet. Although water from none of the lakes has been sampled directly, analysis of lake ice frozen (accreted) to the underside of the ice sheet above Lake Vostok, the largest of these lakes, has allowed inferences to be made on lake water chemistry and has revealed small quantities of microbes. These findings suggest that Lake Vostok is an extreme, yet viable, environment for life. All subglacial lakes are subject to high pressure (similar to 350 atmospheres), low temperatures (about -3 degreesC) and permanent darkness. Any microbes present must therefore use chemical sources to power biological processes. Importantly, dissolved oxygen is available at least at the lake surface, from equilibration with air hydrates released from melting basal glacier ice. Microbes found in Lake Vostok's accreted ice are relatively modern, but the probability of ancient lake-floor sediments leads to a possibility of a very old biota at the base of subglacial lakes.</t>
  </si>
  <si>
    <t>Univ Bristol, Sch Geog Sci, Bristol Glaciol Ctr, Bristol BS8 1SS, Avon, England; British Antarctic Survey, Biosci Div, Freshwater Ecol Grp, Cambridge CB3 0ET, England; Univ Innsbruck, Inst Meteorol &amp; Geophys, A-6020 Innsbruck, Austria; CNRS, Lab Glaciol &amp; Geophys Environm, F-38402 St Martin Dheres, France; Kazan VI Lenin State Univ, Dept Appl Math, Kazan 420008, Russia; Montana State Univ, Bozeman, MT 59717 USA</t>
  </si>
  <si>
    <t>University of Bristol; UK Research &amp; Innovation (UKRI); Natural Environment Research Council (NERC); NERC British Antarctic Survey; University of Innsbruck; Centre National de la Recherche Scientifique (CNRS); Kazan Federal University; Montana State University System; Montana State University Bozeman</t>
  </si>
  <si>
    <t>Univ Bristol, Sch Geog Sci, Bristol Glaciol Ctr, Bristol BS8 1SS, Avon, England.</t>
  </si>
  <si>
    <t>m.j.siegert@bristol.ac.uk</t>
  </si>
  <si>
    <t>Siegert, Martin/M-9939-2019; Siegert, Martin J/A-3826-2008; Tranter, Martyn/E-3722-2010; Salamatin, Andrey/A-9831-2016</t>
  </si>
  <si>
    <t>Siegert, Martin/0000-0002-0090-4806; Siegert, Martin J/0000-0002-0090-4806; Tranter, Martyn/0000-0003-2071-3094; Salamatin, Andrey/0000-0002-5988-6024</t>
  </si>
  <si>
    <t>10.1038/414603a</t>
  </si>
  <si>
    <t>WOS:000172535600039</t>
  </si>
  <si>
    <t>Buffan-Dubau, E; Pringault, O; de Wit, R</t>
  </si>
  <si>
    <t>Artificial cold-adapted microbial mats cultured from Antarctic lake samples. 1. Formation and structure</t>
  </si>
  <si>
    <t>Antarctica; artificial mats; psychroptrophs; pigments; HPLC; net productivity</t>
  </si>
  <si>
    <t>ICE-COVERED LAKES; CYANOBACTERIAL MATS; ANOXYGENIC PHOTOSYNTHESIS; SULFUR BACTERIA; SOLAR UV; PIGMENTS; OXYGEN; RADIATION; LIGHT; HPLC</t>
  </si>
  <si>
    <t>Artificial microbial mats were cultured at 4 to 7 degreesC in benthic gradient chambers using inocula of Antarctic lake mats (Lake Fryxell, Dry Valleys). Their formation and structure were studied based on both HPLC pigment quantification and microsensor measurements of oxygen profiles. Accretion rates (2 to 5 mm within the year) were consistent with previous estimations for artificial mats cultured at 17 to 25 degreesC, suggesting that the microbial community was cold-adapted. Mats were vertically structured comprising an upper green layer dominated by cyanobacteria and an underlying pink layer including purple non-sulphur phototrophic bacteria. Pigment contents indicated that both groups of cyanobacteria (Oscillatoriacae and possibly Nostoc sp.) adopted different patterns of vertical distributions within the mats. Heterogeneity of oxygen vertical distributions was determined, and net primary productivity rates were in the range of those previously reported for natural Antarctic microbial mats. Collective considerations of pigment contents and primary productivity strongly suggest that artificial mats presented some characteristics of natural polar mats, although some differences were established.</t>
  </si>
  <si>
    <t>Univ Bordeaux 1, Stn Marine Arcachon, Lab Oceanog Biol, CNRS,UMR 5805, F-33120 Arcachon, France</t>
  </si>
  <si>
    <t>Centre National de la Recherche Scientifique (CNRS); CNRS - National Institute for Earth Sciences &amp; Astronomy (INSU); Universite de Bordeaux</t>
  </si>
  <si>
    <t>Univ Bordeaux 1, Stn Marine Arcachon, Lab Oceanog Biol, CNRS,UMR 5805, 2 Rue Prof Jolyet, F-33120 Arcachon, France.</t>
  </si>
  <si>
    <t>r.de-wit@epoc.u-bordeaux.fr</t>
  </si>
  <si>
    <t>Pringault, Olivier/P-2495-2019; De Wit, Rutger/KBD-4717-2024</t>
  </si>
  <si>
    <t>Pringault, Olivier/0000-0003-2363-8376;</t>
  </si>
  <si>
    <t>DEC 5</t>
  </si>
  <si>
    <t>10.3354/ame026115</t>
  </si>
  <si>
    <t>505XU</t>
  </si>
  <si>
    <t>WOS:000172941500002</t>
  </si>
  <si>
    <t>Pringault, O; Buffan-Dubau, E; de Wit, R</t>
  </si>
  <si>
    <t>Artificial cold-adapted microbial mats cultured from Antarctic lake samples. 2. Short-term temperature effects on oxygen turn-over</t>
  </si>
  <si>
    <t>microsensors; photosynthesis; respiration; psychrophilic; community; Lake Fryxell</t>
  </si>
  <si>
    <t>SULFATE-REDUCING BACTERIA; MARINE-SEDIMENTS; ARCTIC SEDIMENTS; SULFUR BACTERIA; SOLAR LAKE; SP-NOV.; PHOTOSYNTHESIS; CYANOBACTERIA; GROWTH; CONSUMPTION</t>
  </si>
  <si>
    <t>Short-term temperature effects on oxygen turn-over in artificial cold-adapted microbial mats were experimentally studied using microsensor techniques, The artificial mats were cultured in benthic gradient chambers under opposing oxygen and sulphide gradients, and community metabolism was analysed after 8 mo of incubation at 5 degreesC. Microbial mat samples from Lake Fryxell (Antarctica) were used as inocula. Both net and gross O-2 productivity were maximal at 10 degreesC, whereas gross O-2 production was completely inhibited at 15 degreesC. Thus, the microbial community exhibited a psychrophilic response. Nevertheless, the inhibition of oxygenic photosynthesis at 15 degreesC might result from indirect effects of accumulation of H2S in the photic zone, which might induce the inhibition of photosystem II activity. The dynamics of the dark and light net metabolism Of O-2 were estimated from transient oxygen profiles. They were strongly affected by the temperature changes, exhibiting temperature characteristics well above those calculated from the steady-state approaches. This indicates that indirect effects of temperature probably occurred, i.e. (1) migration of microorganisms locally resulting in higher biomass, (2) an increase of the oxygen requirements for the oxidation of reduced compounds such as H2S, or both, The results show that the metabolic rates of the different functional groups in these artificial microbial mats were fine-tuned to the prevailing temperature, This resulted in a close coupling of oxygen and sulphur cycles as has been previously found for mesophilic hypersaline mats.</t>
  </si>
  <si>
    <t>de Wit, R (corresponding author), Univ Bordeaux 1, Stn Marine Arcachon, Lab Oceanog Biol, CNRS,UMR 5805, 2 Rue Prof Jolyet, F-33120 Arcachon, France.</t>
  </si>
  <si>
    <t>10.3354/ame026127</t>
  </si>
  <si>
    <t>WOS:000172941500003</t>
  </si>
  <si>
    <t>Gaston, KJ; Chown, SL; Mercer, RD</t>
  </si>
  <si>
    <t>The animal species-body size distribution of Marion Island</t>
  </si>
  <si>
    <t>SUB-ANTARCTIC MARION; SOIL MITES; FOREST; PROBABILITY; ABUNDANCE; PATTERNS; NUMBER; LENGTH; ACARI; INVERTEBRATE</t>
  </si>
  <si>
    <t>Body size is one of the most significant features of animals. Not only is it correlated with many life history and ecological traits, but it also may influence the abundance of species within, and their membership of, assemblages. Understanding of the latter processes is frequently based on a comparison of model outcomes with the frequency of species of different body mass within natural assemblages. Consequently, the form of these frequency distributions has been much debated. Empirical data usually concern taxonomically delineated groups, such as classes or orders, whereas the processes ultimately apply to whole assemblages. Here, we report the most complete animal species-body size distribution to date for those free-living species breeding on sub-Antarctic Marion Island and using the terrestrial environment. Extending over 15 orders of magnitude of variation in body mass, this distribution is bimodal, with separate peaks for invertebrates and vertebrates. Under logarithmic transformation, the distribution for vertebrates is not significantly skewed, whereas that for invertebrates is right-skewed. Contrary to expectation based on a fractal or pseudofractal environmental structure, the decline in the richness of species at the smallest body sizes is a real effect and not a consequence of unrecorded species or of species introductions to the island. The scarcity of small species might well be a consequence of their large geographic ranges.</t>
  </si>
  <si>
    <t>Univ Sheffield, Dept Anim &amp; Plant Sci, Biodivers &amp; Macroecol Grp, Sheffield S10 2TN, S Yorkshire, England; Univ Stellenbosch, Dept Zool, ZA-7602 Matieland, South Africa; Univ Pretoria, Dept Zool &amp; Entomol, ZA-0002 Pretoria, South Africa</t>
  </si>
  <si>
    <t>University of Sheffield; Stellenbosch University; University of Pretoria</t>
  </si>
  <si>
    <t>k.j.gaston@sheffield.ac.uk</t>
  </si>
  <si>
    <t>Chown, Steven L/H-3347-2011; Chown, Steven/ABD-7646-2021</t>
  </si>
  <si>
    <t>DEC 4</t>
  </si>
  <si>
    <t>10.1073/pnas.251332098</t>
  </si>
  <si>
    <t>499NH</t>
  </si>
  <si>
    <t>WOS:000172576900056</t>
  </si>
  <si>
    <t>The martian and extraterrestrial uv radiation environment part II: Further considerations on materials and desi,qn criteria for artificial ecosystems</t>
  </si>
  <si>
    <t>ACTA ASTRONAUTICA</t>
  </si>
  <si>
    <t>ULTRAVIOLET-B RADIATION; WAVELENGTH SENSITIVITY; OZONE DEPLETION; SUNSCREEN ROLE; ACTION SPECTRA; PHYTOPLANKTON; NM; PHOTOREACTIVATION; INACTIVATION; SCYTONEMIN</t>
  </si>
  <si>
    <t>Ultraviolet radiation is an important natural physical influence on organism function and ecosystem interactions. The UV radiation fluxes in extraterrestrial environments are substantially different from those experienced on Earth. On Mars, the moon and in Earth orbit they are more biologically detrimental than on Earth. Based on previously presented fluxes and biologically weighted irradiances, this paper considers in more detail measures to mitigate UV radiation damage and methods to modify extraterrestrial UV radiation environments in artificial ecosystems that use natural sunlight. The transmission characteristics of a Martian material that will mimic the terrestrial UV radiation environment are presented. Transmissivity characteristics of other Martian and lunar materials are described. Manufacturing processes for the production of plastics and glass on the lunar and Martian surface are presented with special emphasis on photobiological requirements. Novel UV absorbing configurations are suggested. (C) 2001 Elsevier Science Ltd. All rights reserved.</t>
  </si>
  <si>
    <t>0094-5765</t>
  </si>
  <si>
    <t>1879-2030</t>
  </si>
  <si>
    <t>ACTA ASTRONAUT</t>
  </si>
  <si>
    <t>Acta Astronaut.</t>
  </si>
  <si>
    <t>DEC</t>
  </si>
  <si>
    <t>484NP</t>
  </si>
  <si>
    <t>WOS:000171696700005</t>
  </si>
  <si>
    <t>Martian polar expeditions: Problems and solutions</t>
  </si>
  <si>
    <t>THERMAL MAPPER OBSERVATIONS; LAYERED DEPOSITS; DUST STORMS; MARS; SPACE; CAPS; REGIONS; ICE; ORIGIN</t>
  </si>
  <si>
    <t>The Martian polar ice caps are regions of substantial scientific interest, being the most dynamic regions of Mars. They are volatile sinks and thus closely linked to Martian climatic conditions. Because of their scale and the precedent set by the past history of polar exploration on Earth, it is likely that an age of polar exploration will emerge on the surface of Mars after the establishment of a capable support structure at lower latitudes. Expeditions might be launched either from a lower latitude base camp or from a human-tended polar base. Based on previously presented expeditionary routes to the Martian poles, in this paper a spiral in-spiral out unsupported transpolar assault on the Martian north geographical pole is used asa Reference expedition to propose new types of equipment for the human polar exploration of Mars. Martian polar ball tents and hover modifications to the Nansen sledge for sledging on CO2-containing water ice substrates under low atmospheric pressures are suggested as elements for the success of these endeavours. Other challenges faced by these expeditions are quantitatively and qualitatively addressed. (C) 2001 Elsevier Science Ltd. All rights reserved.</t>
  </si>
  <si>
    <t>Cockell, CS (corresponding author), British Antarctic Survey, High Cross,Madingley Rd, Cambridge CB3 0ET, England.</t>
  </si>
  <si>
    <t>10.1016/S0094-5765(01)00142-4</t>
  </si>
  <si>
    <t>491NB</t>
  </si>
  <si>
    <t>WOS:000172113800005</t>
  </si>
  <si>
    <t>Abollino, O; Aceto, M; La Gioia, C; Sarzanini, C; Mentasti, E</t>
  </si>
  <si>
    <t>Spatial and seasonal variations of major, minor and trace elements in Antarctic seawater. Chemometric investigation of variable and site correlations</t>
  </si>
  <si>
    <t>ADVANCES IN ENVIRONMENTAL RESEARCH</t>
  </si>
  <si>
    <t>seawater; heavy metals; traces; pack ice; chemometrics</t>
  </si>
  <si>
    <t>ROSS SEA ANTARCTICA; SOUTHERN-OCEAN; COASTAL SEAWATER; AUSTRAL SUMMER; WATER COLUMN; WEDDELL SEA; IRON; CADMIUM; MANGANESE; COPPER</t>
  </si>
  <si>
    <t>The concentrations of fourteen elements in seawater collected during the 1994-95 and 1995-96 Italian expeditions to Antarctica were determined by stripping voltammetry or atomic spectroscopy. The results obtained are discussed as a function of the sampling period and location. Heavy metal concentrations for samples collected during the 1993-94 campaign are also reported. Dissolved levels of major, minor and trace elements were found to decrease after pack ice melting because of water dilution and bioaccumulation, the latter being particularly relevant for heavy metal concentrations. The elaboration by chemometric multivariate techniques allowed identification of two groups of samples, respectively, collected before and after pack ice melting, and to find correlations among variables, such as alkaline-earth metals. (C) 2001 Elsevier Science Ltd. All rights reserved.</t>
  </si>
  <si>
    <t>Univ Turin, Dept Analyt Chem, I-10125 Turin, Italy; Univ E Piedmont, Dept Sci &amp; Adv Technol, I-15100 Alessandria, Italy</t>
  </si>
  <si>
    <t>University of Turin; University of Eastern Piedmont Amedeo Avogadro</t>
  </si>
  <si>
    <t>Mentasti, E (corresponding author), Univ Turin, Dept Analyt Chem, Via P Giuria 5, I-10125 Turin, Italy.</t>
  </si>
  <si>
    <t>Aceto, Maurizio/H-8803-2017; Abollino, Ornella/AAS-7412-2020</t>
  </si>
  <si>
    <t>Aceto, Maurizio/0000-0001-6360-3632; Abollino, Ornella/0000-0003-2350-4941</t>
  </si>
  <si>
    <t>1093-0191</t>
  </si>
  <si>
    <t>ADV ENVIRON RES</t>
  </si>
  <si>
    <t>Adv. Environ. Res.</t>
  </si>
  <si>
    <t>10.1016/S1093-0191(00)00068-X</t>
  </si>
  <si>
    <t>Engineering, Environmental; Engineering, Chemical</t>
  </si>
  <si>
    <t>486KW</t>
  </si>
  <si>
    <t>WOS:000171817800004</t>
  </si>
  <si>
    <t>Costa, DP; Burns, JM; Crocker, DE; Fedak, MA; Trumble, S; Gales, N</t>
  </si>
  <si>
    <t>Winter foraging ecology of crabeater seals</t>
  </si>
  <si>
    <t>AMERICAN ZOOLOGIST</t>
  </si>
  <si>
    <t>Univ Calif Santa Cruz, Santa Cruz, CA 95064 USA; Univ Alaska, Anchorage, AK USA; Sonoma State Univ, Rohnert Pk, CA 94928 USA; Sea Mammal Res Unit, St Andrews, Fife, Scotland; Univ Alaska, Fairbanks, AK 99701 USA; Australian Antarctic Div, Hobart, Tas, Australia</t>
  </si>
  <si>
    <t>University of California System; University of California Santa Cruz; University of Alaska System; University of Alaska Anchorage; California State University System; Sonoma State University; University of St Andrews; University of Alaska System; University of Alaska Fairbanks; Australian Antarctic Division</t>
  </si>
  <si>
    <t>Burns, Jennifer M/C-4159-2013; Burns, Jennifer/AAC-8243-2019; Fedak, Michael/B-3987-2009</t>
  </si>
  <si>
    <t>Burns, Jennifer/0000-0001-9652-2943; Fedak, Michael/0000-0002-9569-1128</t>
  </si>
  <si>
    <t>SOC INTEGRATIVE COMPARATIVE BIOLOGY</t>
  </si>
  <si>
    <t>MCLEAN</t>
  </si>
  <si>
    <t>1313 DOLLEY MADISON BLVD, NO 402, MCLEAN, VA 22101 USA</t>
  </si>
  <si>
    <t>0003-1569</t>
  </si>
  <si>
    <t>AM ZOOL</t>
  </si>
  <si>
    <t>Am. Zool.</t>
  </si>
  <si>
    <t>529NX</t>
  </si>
  <si>
    <t>WOS:000174306500143</t>
  </si>
  <si>
    <t>Cullen, MF; Harrington, ST; Kaufmann, RS; Lowery, MS</t>
  </si>
  <si>
    <t>Seasonal changes in physiological status of Antarctic krill, Euphausia superba, from Deception Island, Antarctica</t>
  </si>
  <si>
    <t>Univ San Diego, San Diego, CA 92110 USA</t>
  </si>
  <si>
    <t>University of San Diego</t>
  </si>
  <si>
    <t>WOS:000174306500152</t>
  </si>
  <si>
    <t>Howard-Williams, C</t>
  </si>
  <si>
    <t>Climate change as a unifying theme in Antarctic research</t>
  </si>
  <si>
    <t>Howard-Williams, Clive/0000-0002-8323-6806</t>
  </si>
  <si>
    <t>10.1017/S0954102001000499</t>
  </si>
  <si>
    <t>502GD</t>
  </si>
  <si>
    <t>WOS:000172734600001</t>
  </si>
  <si>
    <t>Ahn, IY; Kang, J; Kim, KW</t>
  </si>
  <si>
    <t>The effect of body size on metal accumulations in the bivalve Laternula elliptica</t>
  </si>
  <si>
    <t>Antarctic clam; body size; heavy metals; King George Island; Laternula elliptica</t>
  </si>
  <si>
    <t>KING-GEORGE-ISLAND; GASTROPOD LITTORINA-LITTOREA; SCALLOP ADAMUSSIUM-COLBECKI; MUSSEL WATCH PROGRAM; HEAVY-METAL; CADMIUM ACCUMULATION; MYTILUS-EDULIS; TRACE-METAL; MACOMA-BALTHICA; ANTARCTIC CLAM</t>
  </si>
  <si>
    <t>Variations of metal concentrations with body size were investigated in kidney, digestive gland and gill of the Antarctic clam Laternula elliptica, collected from a near-shore habitat at King George Island. Positive relationships for metal concentrations with body size were common among the three organs for most of the metals, while an inverse relationship was found only in the digestive gland for Cu, Zn and Mn. In the gill, concentrations of eight out of the ten metals increased linearly with body size, whilst in the kidney concentrations of Cd, Zn, Pb, Co and Ni were best fitted by quadratic regression curves, viz. increasing continuously until reaching a peak at around an 80 mm shell length. This may reflect specific regulatory activities for the extremely high accumulation of these metals in the kidney, particularly Cd (28-354 mug g(-1) tissue dry weight). The overall prevalence of positive relationships indicate net accumulation of these metals throughout life, which may be at least in part associated with the slow growth and long life span of this cold-water bivalve species. The study demonstrates distinct body size-metal concentration relationships in the three organs of L. elliptica, and suggests they may be useful as biomonitors for assessing changes in metal concentrations in Antarctic waters.</t>
  </si>
  <si>
    <t>Ahn, IY (corresponding author), Korea Ocean Res &amp; Dev Inst, Polar Sci Lab, POB 29, Seoul 425600, South Korea.</t>
  </si>
  <si>
    <t>10.1017/S0954102001000505</t>
  </si>
  <si>
    <t>WOS:000172734600002</t>
  </si>
  <si>
    <t>Eakin, RR; Eastman, JT; Jones, CD</t>
  </si>
  <si>
    <t>Mental barbel variation in Pogonophryne scotti Regan (Pisces: Perciformes: Artedidraconidae)</t>
  </si>
  <si>
    <t>Antarctic; Artedidraconidae; mental barbel; Pogonophryne scotti</t>
  </si>
  <si>
    <t>FISH FAUNA; ANTARCTICA; SEA</t>
  </si>
  <si>
    <t>The mental barbel, an important diagnostic character among notothenioid fishes of the family Artedidraconidae, is highly variable in Pogonophryne scotti. A collection of 92 specimens of this species from the South Orkney Islands, comprising both sexes and a wide range of sizes, was studied to determine intraspecific variation in barbel size, shape and ornamentation (development of papillae and folds, especially on the tip). Four distinct barbel types, based on external morphology, are represented in this material: scotti (4.3%), phyllopogon (28.3%), dolichobranchiata (4.3%) and brainlike (38.1%). Indeterminate barbels (25.0%), observed in specimens of both sexes and all sizes, exhibit varying degrees of ornamentation and suggest that all barbel types represent the range of variability in P. scotti. There is no correlation between sex and barbel type. Barbels exhibit negative allometric growth relative to body size. Specimens of at least 119 min SL generally exhibit greater development of the terminal expansion, resulting in a convoluted brainlike appearance previously unrecorded for P. scotti. Indeterminate and phyllopogon barbels are most common among specimens of 119-210 mm SL. All barbel types are similar histologically. A core of pseudocartilage is surrounded by connective tissue, and the entire barbel is well supplied with blood vessels and nerves. Papillae and folds are dermal projections covered by epidermis. The variation exhibited by the barbel of P. scotti formerly served as the basis for distinguishing this species from the invalid species P. phyllopogon and P. dolichobranchiata. Such intraspecific variation is atypical for Pogonophryne but underscores the need to fully validate any taxonomic character.</t>
  </si>
  <si>
    <t>Univ New England, Dept Life Sci, Portland, ME 04103 USA; Ohio Univ, Coll Osteopath Med, Dept Biomed Sci, Athens, OH 45701 USA; SW Fisheries Sci Ctr, US Antarctic Marine Living Resources Program, La Jolla, CA 92038 USA</t>
  </si>
  <si>
    <t>University of New England - Maine; University System of Ohio; Ohio University; National Oceanic Atmospheric Admin (NOAA) - USA</t>
  </si>
  <si>
    <t>Eakin, RR (corresponding author), Univ New England, Dept Life Sci, Portland, ME 04103 USA.</t>
  </si>
  <si>
    <t>Eastman, Joseph T/A-9786-2008; Eastman, Joseph T./O-6150-2019</t>
  </si>
  <si>
    <t>Eastman, Joseph T./0000-0003-3868-261X</t>
  </si>
  <si>
    <t>10.1017/S0954102001000517</t>
  </si>
  <si>
    <t>WOS:000172734600003</t>
  </si>
  <si>
    <t>Field, I; Hindell, M; Slip, D; Michael, K</t>
  </si>
  <si>
    <t>Foraging strategies of southern elephant seals (Mirounga leonina) in relation to frontal zones and water masses</t>
  </si>
  <si>
    <t>foraging behaviour; southern elephant seal; Southern Ocean; water temperature</t>
  </si>
  <si>
    <t>MOROTEUTHIS-INGENS CEPHALOPODA; OCEANOGRAPHIC FEATURES; HEARD-ISLAND; SCOTIA SEA; OCEAN; PRODUCTIVITY; ATLANTIC; ONYCHOTEUTHIDAE; PHYTOPLANKTON; TEMPERATURE</t>
  </si>
  <si>
    <t>Geolocating-time-depth-temperature-recorders (GLTDTR) provided a continuous record of diving behaviour in relation to water temperature for ten female southern elephant seals from Macquarie Island during their post-breeding trips to sea, Four water bodies were determined from depth/temperature profiles recorded by the GLTDTRs. These water bodies corresponded to Sub-Antarctic Mode Water (SAMW), Polar Front Zone Water (PFZW), Polar Front Water (PFW) and Antarctic Water Masses (AWM). Thermal structures within these water bodies did not influence seal diving behaviour. Overall mean dive depth, nocturnal dive depths, diurnal dive depths and dive duration were similar in all areas. However, individuals did change behaviour as they moved between different water bodies. Seals also used different water bodies in the two different years of the study. We suggest that variations in foraging behaviour among seals are a result of prey distribution associated with local oceanographic conditions, but also reflect important individual foraging strategies within thermal zones.</t>
  </si>
  <si>
    <t>Univ Tasmania, Sch Zool, Antarctic Wildlife Res Unit, Hobart, Tas 7001, Australia; Univ Tasmania, Inst Antarctic &amp; So Ocean Studies, Hobart, Tas 7001, Australia; Australian Antarctic Div, Kingston, Tas 7050, Australia</t>
  </si>
  <si>
    <t>University of Tasmania; University of Tasmania; Australian Antarctic Division</t>
  </si>
  <si>
    <t>Hindell, Mark A/K-1131-2013; Field, Iain C/D-3934-2009; Michael, Kelvin/J-7217-2014</t>
  </si>
  <si>
    <t>Hindell, Mark/0000-0002-7823-7185; Michael, Kelvin/0000-0002-5427-7393; Slip, David/0000-0002-9010-7236</t>
  </si>
  <si>
    <t>10.1017/S0954102001000529</t>
  </si>
  <si>
    <t>WOS:000172734600004</t>
  </si>
  <si>
    <t>Kirkman, SP; Bester, MN; Pistorius, PA; Hofmeyr, GJG; Owen, R; Mecenero, S</t>
  </si>
  <si>
    <t>Participation in the winter haulout by southern elephant seals (Mirounga leonina)</t>
  </si>
  <si>
    <t>Marion Island; participation; Southern elephant seals; winter haulout</t>
  </si>
  <si>
    <t>MARION-ISLAND; MOVEMENTS; POPULATION; DISPERSION; PATAGONIA; BEHAVIOR</t>
  </si>
  <si>
    <t>Southern elephant seals haulout on land to moult, breed and for a third, unknown reason, which we refer to as the winter haulout. We used long-term mark-recapture data to estimate participation levels in the winter haulout by southern elephant seals at Marion Island. There was no evidence that participation levels varied between cohorts or between years. Participation differed between sexes, with males being more likely to haulout in winter, except in the first year of life where participation was equal. Within each sex, both age and reproductive status influenced participation, but age seemed to be the most influential determinant. Generally, immature male individuals hauled out year after year in winter. The results did not allow speculation as to the purpose(s) of the winter haulout.</t>
  </si>
  <si>
    <t>Univ Pretoria, Mammal Res Inst, Dept Zool &amp; Entomol, ZA-0002 Pretoria, South Africa; Univ Pretoria, Dept Stat, ZA-0002 Pretoria, South Africa</t>
  </si>
  <si>
    <t>University of Pretoria; University of Pretoria</t>
  </si>
  <si>
    <t>Kirkman, Stephen/AAA-9139-2021; Bester, Marthán N/E-5387-2010; Hofmeyr, G. J. Greg/AAV-3286-2020</t>
  </si>
  <si>
    <t>10.1017/S0954102001000530</t>
  </si>
  <si>
    <t>WOS:000172734600005</t>
  </si>
  <si>
    <t>Koubbi, P; Duhamel, G; Hebert, C</t>
  </si>
  <si>
    <t>Seasonal relative abundance of fish larvae inshore at Iles Kerguelen, Southern Ocean</t>
  </si>
  <si>
    <t>coastal zone; fish larvae; multivariate analysis; Notothenioids</t>
  </si>
  <si>
    <t>ASSEMBLAGES; ICHTHYOPLANKTON; BASIN</t>
  </si>
  <si>
    <t>Ichthyoplankton sampling was conducted seasonally with 36 surveys between spring 1989 and spring 1992 in four bays in the Kerguelen archipelago: Morbihan, Baleiniers, Choiseul and Audierne. Golfe des Baleiniers is open to the shelf whereas Choiseul and Audierne are long fjords. Golfe du Morbihan is a very large and protected area open to the shelf at its eastern end. Larvae of neritic species were abundant outside whereas larvae of inshore species were abundant inside the Golfe du Morbihan. Larval Lepidonotothen squamifrons were detected during summer every year whereas larvae of Champsocephalus gunnari were observed in only two years, mainly in the northern coastal zone. For both species, our results support coastal spawning grounds in addition to those on the shelf slope. Larvae of the mesopelagic fish Krefftichthys anderssoni were dominant primarily during winter; this was linked to homogenisation of the water column over the shelf and the coastal zone. Larvae of Notothenia cyanobrancha were present throughout the year everywhere, which is linked to the year long pelagic earlylife-history phase.</t>
  </si>
  <si>
    <t>Univ Littoral Cote dOpale, UPRESA 8013, F-62227 Calais, France; Museum Natl Hist Nat, Ichtyol Gen &amp; Appl Lab, F-75231 Paris 05, France</t>
  </si>
  <si>
    <t>Universite du Littoral-Cote-d'Opale; Museum National d'Histoire Naturelle (MNHN)</t>
  </si>
  <si>
    <t>Koubbi, P (corresponding author), Univ Littoral Cote dOpale, UPRESA 8013, 17 Ave Bleriot,BP 699, F-62227 Calais, France.</t>
  </si>
  <si>
    <t>Koubbi@univ-littoral.fr</t>
  </si>
  <si>
    <t>Koubbi, Philippe/D-5873-2015</t>
  </si>
  <si>
    <t>10.1017/S0954102001000542</t>
  </si>
  <si>
    <t>WOS:000172734600006</t>
  </si>
  <si>
    <t>Purdy, KJ; Hawes, I; Bryant, CL; Fallick, AE; Nedwell, DB</t>
  </si>
  <si>
    <t>Estimates of sulphate reduction rates in Lake Vanda, Antarctica support the proposed recent history of the lake</t>
  </si>
  <si>
    <t>Lake Vanda; radiocarbon age; stable isotopes; sulphate reduction</t>
  </si>
  <si>
    <t>DISSOLVED ORGANIC-MATTER; MCMURDO-DRY-VALLEYS; GREEN ALGAL CELLS; MICROBIAL DECOMPOSITION; WRIGHT VALLEY; NITROUS-OXIDE; SEA; SEDIMENTS; EVOLUTION; SULFIDES</t>
  </si>
  <si>
    <t>Lake Vanda, a perennially ice-covered Antarctic lake has a highly stratified structure with a pronounced density gradient from 45 m and is anoxic from 68 rn down. In order to gain a greater understanding of the carbon cycling in the lake we attempted to measure sulphate reduction in the summer of 1994, but rates were below detectable limits of 1.2 x 10(6) mol sulphate yr(-1). Therefore sulphate reduction was estimated by calculating the rate of sulphide diffusion from the anoxic zone. Sulphate reduction rates were estimated to be 17.7 x 10(3) mol sulphate yr(-1), accounting for 30% of planktonic primary production over the whole lake, but over 100% of primary productivity in the deep chlorophyll maximum. Radiocarbon dating of organic matter in the sediment (565 +/- 50 yr BP), suggests that little new organic carbon reaches the sediment from the upper water column. Oxygen diffusion into the anoxic zone could account for only 44% of sulphide reoxidation; therefore, alternative oxidizing potential presumably accounted for the remainder. Sulphate concentration may be controlled by the solubility limit for a mineral phase, perhaps gypsum, as it shows a positive correlation with conductivity, The sulphur species in the anoxic zone are highly enriched in S-34 (sulphate delta S-34 = +42 to +46%, sulphide delta S-34 = +13.9%) which may be explained by either selective removal of sulphide at the oxic/anoxic interface by precipitation of metal sulphides or previous loss of H2S to the atmosphere. While sulphate reduction is an important part of the carbon cycle within the lake, the oligotrophic nature of Lake Vanda means that all microbiological process rates are very low. The data presented suggest a dynamic and complex history for Lake Vanda and are entirely consistent with present theories of the lake's history.</t>
  </si>
  <si>
    <t>Univ Essex, Dept Biol Sci, Colchester CO4 3SQ, Essex, England; Natl Inst Water &amp; Atmosphere Res, Christchurch, New Zealand; NERC, Radiocarbon Lab, E Kilbride G75 0QF, Lanark, Scotland</t>
  </si>
  <si>
    <t>University of Essex; National Institute of Water &amp; Atmospheric Research (NIWA) - New Zealand; UK Research &amp; Innovation (UKRI); Natural Environment Research Council (NERC); NERC British Geological Survey</t>
  </si>
  <si>
    <t>Purdy, KJ (corresponding author), Nat Hist Museum, Dept Zool, Mol Biol Unit, Cromwell Rd, London SW7 5BD, England.</t>
  </si>
  <si>
    <t>Purdy, Kevin/A-1900-2009; Bryant, Charlotte L/G-3453-2012</t>
  </si>
  <si>
    <t>Purdy, Kevin/0000-0002-2997-9342; Fallick, Anthony/0000-0002-7649-6167; Hawes, Ian/0000-0003-2471-6903</t>
  </si>
  <si>
    <t>10.1017/S0954102001000554</t>
  </si>
  <si>
    <t>WOS:000172734600007</t>
  </si>
  <si>
    <t>Quillfeldt, P</t>
  </si>
  <si>
    <t>Variation in breeding success in Wilson's storm petrels: influence of environmental factors</t>
  </si>
  <si>
    <t>Antarctic krill; climatic conditions; feeding rate; food availability; procellariiform seabirds; seabirds as environmental monitors</t>
  </si>
  <si>
    <t>KRILL EUPHAUSIA-SUPERBA; ANTARCTIC KRILL; INTERANNUAL VARIABILITY; OCEANITES-OCEANICUS; POPULATION-DYNAMICS; MARINE ECOSYSTEM; ELEPHANT ISLAND; FEEDING ECOLOGY; SOUTH GEORGIA; D-CHRYSOSTOMA</t>
  </si>
  <si>
    <t>The climatic and sea ice conditions of the Southern Ocean are highly variable within and between years, and a better understanding of the influence of climatic conditions on the various parts of the marine food chain is needed. This paper summarizes data on breeding success of a krill-dependent predator, the Wilson's storm petrel Oceanites oceanicus, in a colony on King George Island, South Shetland Islands, Antarctica, over four breeding seasons from 1995/1996 to 1999/2000. The seasons differed greatly in environmental conditions and in the resulting food availability which was reflected in inter- and intra-annual variations in feeding frequency. The breeding success was consequently variable. Starvation, the main cause of chick mortality in three out of four breeding seasons was associated with reduced sea ice cover in winter, which is known to depress food availability in the following breeding season. Food delivery rates also depended on the prevailing winds, which drive the transport of zooplankton-rich water masses. Snowstorms caused additional chick mortality in two out of four seasons when nest burrows became blocked. Implications for the use of Wilson's storm petrels for monitoring of krill are considered.</t>
  </si>
  <si>
    <t>Univ Jena, Inst Ecol, D-07743 Jena, Germany</t>
  </si>
  <si>
    <t>Univ Jena, Inst Ecol, Dornburgerstr 159, D-07743 Jena, Germany.</t>
  </si>
  <si>
    <t>petra.quillfeldt@excite.com</t>
  </si>
  <si>
    <t>Quillfeldt, Petra/A-9549-2009</t>
  </si>
  <si>
    <t>Quillfeldt, Petra/0000-0002-4450-8688</t>
  </si>
  <si>
    <t>10.1017/S0954102001000566</t>
  </si>
  <si>
    <t>WOS:000172734600008</t>
  </si>
  <si>
    <t>Roberts, D; McMinn, A; Johnston, N; Gore, DB; Melles, M; Cremer, H</t>
  </si>
  <si>
    <t>An analysis of the limnology and sedimentary diatom flora of fourteen lakes and ponds from the Windmill Islands, East Antarctica</t>
  </si>
  <si>
    <t>Antarctica; Windmill Islands; lakes; diatoms; water chemistry; multivariate analysis</t>
  </si>
  <si>
    <t>WATER CHEMISTRY; VESTFOLD HILLS; SALINE LAKES; ASSEMBLAGES; DIVERSITY; GRADIENT; MODEL</t>
  </si>
  <si>
    <t>The limnology and sedimentary diatom flora of fourteen lakes and ponds from the Windmill Islands, East Antarctica, is presented. Saline lakes, saline ponds and freshwater ponds are represented in this dataset. The Windmill Island lake diatom flora represents an intermediate floral assemblage between that of the freshwater lakes of the Larsemann Hills and the saline lakes of Vestfold Hills, East Antarctica. Variations within this assemblage are related to water chemistry variables in the Windmill Island lakes. In particular, a lakewater salinity/phosphate gradient can explain the variation observed in the sedimentary diatom flora of the lakes and ponds included in this study.</t>
  </si>
  <si>
    <t>Univ Tasmania, Inst Antarctic &amp; So Ocean Studies, Hobart, Tas 7001, Australia; CSIRO, Marine Labs, Hobart, Tas 7001, Australia; Macquarie Univ, Dept Phys Geog, N Ryde, NSW 2109, Australia; Univ Leipzig, Fac Phys &amp; Geosci, Inst Geophys &amp; Geol, D-04103 Leipzig, Germany; Alfred Wegener Inst Polar &amp; Marine Res, Res Dept Potsdam, D-14473 Potsdam, Germany</t>
  </si>
  <si>
    <t>University of Tasmania; Commonwealth Scientific &amp; Industrial Research Organisation (CSIRO); Macquarie University; Leipzig University; Helmholtz Association; Alfred Wegener Institute, Helmholtz Centre for Polar &amp; Marine Research</t>
  </si>
  <si>
    <t>Roberts, D (corresponding author), Univ Tasmania, Inst Antarctic &amp; So Ocean Studies, Box 252-77, Hobart, Tas 7001, Australia.</t>
  </si>
  <si>
    <t>Melles, Martin/J-4070-2012; McMinn, Andrew/A-9910-2008</t>
  </si>
  <si>
    <t>Melles, Martin/0000-0003-0977-9463; Roberts, Donna/0000-0001-6701-6662; Johnston, Nadine M/0000-0003-2211-1492; Gore, Damian/0000-0002-0377-8518</t>
  </si>
  <si>
    <t>10.1017/S0954102001000578</t>
  </si>
  <si>
    <t>WOS:000172734600009</t>
  </si>
  <si>
    <t>Schmidt, A; Brandt, A</t>
  </si>
  <si>
    <t>The tanaidacean fauna of the Beagle Channel (southern Chile) and its relationship to the fauna of the Antarctic continental shelf</t>
  </si>
  <si>
    <t>biogeography; Magellan region; Peracarida; sub-Antarctic; Tanaidacea</t>
  </si>
  <si>
    <t>PERACARIDA CRUSTACEA; MALACOSTRACA; DIVERSITY; EVOLUTION; TRANSECT</t>
  </si>
  <si>
    <t>In November 1994 epibenthic sledge samples were taken in the Beagle Channel. This study presents the first systematic account of Tanaidacea of the Beagle Channel and an adjacent area on the Atlantic continental slope. The material of this part from the Magellan Strait comprised 2175 specimens and 27 species of eight families of Tanaidomorpha and two families of Apseudomorpha, Eleven species were sampled in the Magellan region for the first time. The genus Stenotanais (Anarthruridae) was reported for the first time in the Southern Hemisphere and, the bathymetric range of seven species was extended. The tanaidacean fauna in the Beagle Channel is highly heterogeneous with 36 tanaidacean species now known from the Magellan region. On the basis of a zoogeographic comparison of the Magellan region with sub-Antarctica and Antarctica, Sieg's (1988) hypothesis of a phylogenetically young, derived Antarctic tanaidacean fauna is examined and the zoogeographic relationship between the Magellanic Tanaidacea and the Antarctic tanaidaceans is discussed.</t>
  </si>
  <si>
    <t>Univ Hamburg, Inst Zool, D-20146 Hamburg, Germany; Univ Hamburg, Museum Zool, D-20146 Hamburg, Germany</t>
  </si>
  <si>
    <t>Schmidt, A (corresponding author), Univ Hamburg, Inst Zool, Martin Luther King Pl 3, D-20146 Hamburg, Germany.</t>
  </si>
  <si>
    <t>abrandt@zoologie.uni-hamburg.de</t>
  </si>
  <si>
    <t>10.1017/S095410200100058X</t>
  </si>
  <si>
    <t>WOS:000172734600010</t>
  </si>
  <si>
    <t>Van Franeker, JA; Creuwels, JCS; Van der Veer, W; Cleland, S; Robertson, G</t>
  </si>
  <si>
    <t>Unexpected effects of climate change on the predation of Antarctic petrels</t>
  </si>
  <si>
    <t>Catharacta maccormicki; climate change; Macronectes giganteus; nesting distribution; predation pressure; snow; Thalassoica antarctica</t>
  </si>
  <si>
    <t>BREEDING SUCCESS; ISLAND; FOOD</t>
  </si>
  <si>
    <t>Antarctic petrels Thalassoica antarctica on Ardery Island, Antarctica (66 degreesS, 110 degreesE), experienced major reductions inbreeding success and breeder survival over four seasons between 1984/85 and 1996/97. In 1996 the reason was revealed. A large snowdrift covered part of the study colony on the cliffs. Southern giant petrels Macronectes giganteus, normally lacking access to this area, exploited the snow for soft 'crash landings'. After landing they waited for the disturbed birds to resettle on their nests and then used surprise to seize and kill a victim. Predation continued into the egg period, and only stopped after the snowdrift had melted. Giant petrels showed no interest in the eggs but, during the panic caused by their activities, South Polar skuas Catharacta maccormicki took the deserted eggs. Antarctic petrel mortality due to predation within the 1996/97 season amounted to 15.4% of experienced breeders, and breeding success was reduced to virtually zero. Weather data from the nearby Casey station over the 1980-96 period showed that a significant increase in precipitation has occurred, in combination with shifts in speed and direction of winds. We conclude that the decreases in breeding success and survival in earlier seasons were also related to increased snowfall and predation. Although similar predation behaviour by giant petrels has not been reported before, we think that it is long established and explains why nesting of the smaller fulmarine petrels is limited to steeper cliffs or sheltered sites. The complexity of the response seems unlikely to be predicted by our present understanding of how climate change affects ecosystems.</t>
  </si>
  <si>
    <t>Alterra Texel, Marine &amp; Coastal Zone Res, NL-1790 AD Den Burg, Texel, Netherlands; Bur Meteorol, Casuarine, NT 0811, Australia; Australian Antarctic Div, Kingston, Tas 7050, Australia</t>
  </si>
  <si>
    <t>Wageningen University &amp; Research; Bureau of Meteorology - Australia; Australian Antarctic Division</t>
  </si>
  <si>
    <t>J.A.vanFraneker@alterra.wag-ur.nl</t>
  </si>
  <si>
    <t>10.1017/S0954102001000591</t>
  </si>
  <si>
    <t>WOS:000172734600011</t>
  </si>
  <si>
    <t>Hodgson, DA; Noon, PE; Vyverman, W; Bryant, CL; Gore, DB; Appleby, P; Gilmour, M; Verleyen, E; Sabbe, K; Jones, VJ; Ellis-Evans, JC; Wood, PB</t>
  </si>
  <si>
    <t>Were the Larsemann Hills ice-free through the Last Glacial Maximum?</t>
  </si>
  <si>
    <t>Antarctic; deglaciation; Holocene; lakes; Larsemann Hills; Pleistocene</t>
  </si>
  <si>
    <t>EAST-ANTARCTICA; VESTFOLD HILLS; GLACIOFLUVIAL SEDIMENTS; DIATOM ASSEMBLAGES; MASS-SPECTROMETER; CONTINENTAL-SHELF; MARINE-SEDIMENTS; SIGNY ISLAND; SALINE LAKES; PRYDZ BAY</t>
  </si>
  <si>
    <t>Lake sediments in the Larsemann Hills contain a great diversity of biological and physical markers from which past environments can be inferred. In order to determine the timing of environmental changes it is essential to have accurate dating of sediments. We used radiometric ((210)Pb and (137)Cs), radiocarbon (AMS (14)C) and uranium series ((238)U) methods to date cores from eleven lakes. These were sampled on coastal to inland transects across the two main peninsulas, Broknes and Stornes, together with a single sample from the Bolingen Islands. Radiometric dating of recent sediments yielded (210)Pb levels below acceptable detection limits. However, a relatively well-defined peak in (137)Cs gave a date marker which corresponds to the fallout maximum from the atmospheric testing of atomic weapons in 1964/65. Radiocarbon (AMS 14C) measurements showed stratigraphical consistency in the age-depth sequences and undisturbed laminae in some cores provides evidence that the sediments have remained undisturbed by glacial action. In addition, freshwater surface sediments were found to be in near-equilibrium with modem (14)C, and not influenced by radiocarbon contamination processes. This dating program, together with geomorphological records of ice flow directions and glacial sediments, indicates that parts of Broknes were ice-free throughout the Last Glacial Maximum and that some lakes have existed continuously since at least 44 ka BP. Attempts to date sediments older than 44 ka BP using (238)U dating were inconclusive. However, supporting evidence for Broknes being ice-free is provided by an Optically Stimulated Luminescence date from a glaciofluvial deposit. In contrast, Stornes only became ice-free in the mid to late Holocene. This contrasting glacial history results from the Dalk Glacier which diverts ice around Broknes. Lakes on Broknes and some offshore islands therefore contain the oldest known lacustrine sediment records from eastern Antarctica, with the area providing an ice-free oasis and refuge for plants and animals throughout the Last Glacial Maximum. These sediments are therefore well placed to unravel a unique limnological sequence of environmental and climate changes in East Antarctica from the late Pleistocene to the present. This information may help better constrain models of current climate changes and ensure the adequate protection of these lakes and their catchments from the impacts of recent human occupation.</t>
  </si>
  <si>
    <t>British Antarctic Survey, NERC, Cambridge CB3 0ET, England; Univ Ghent, Dept Biol, Lab Protistol &amp; Aquat Ecol, B-9000 Ghent, Belgium; Nat Environm Res Council Radiocarbon Lab, E Kilbride G75 0QF, Lanark, Scotland; Macquarie Univ, Dept Phys Geog, N Ryde, NSW 2109, Australia; Univ Liverpool, Environm Radioact Res Ctr, Dept Math Sci, Liverpool L69 3BX, Merseyside, England; Open Univ, Dept Earth Sci, Nat Environm Res Council, Uranium Series Facil, Milton Keynes MK7 6AA, Bucks, England; UCL, Environm Change Res Ctr, London WC1H 0AP, England; Univ London Royal Holloway &amp; Bedford New Coll, Dept Geog, Egham TW20 0EX, Surrey, England</t>
  </si>
  <si>
    <t>UK Research &amp; Innovation (UKRI); Natural Environment Research Council (NERC); NERC British Antarctic Survey; Ghent University; UK Research &amp; Innovation (UKRI); Natural Environment Research Council (NERC); NERC British Geological Survey; Macquarie University; University of Liverpool; Open University - UK; University of London; University College London; University of London; Royal Holloway University London</t>
  </si>
  <si>
    <t>Hodgson, DA (corresponding author), British Antarctic Survey, NERC, Madingley Rd,High Cross, Cambridge CB3 0ET, England.</t>
  </si>
  <si>
    <t>Dasseville, Renaat/B-3561-2010; Bryant, Charlotte L/G-3453-2012</t>
  </si>
  <si>
    <t>Gore, Damian/0000-0002-0377-8518; Appleby, Peter/0000-0002-6945-1841</t>
  </si>
  <si>
    <t>10.1017/S0954102001000608</t>
  </si>
  <si>
    <t>WOS:000172734600012</t>
  </si>
  <si>
    <t>McKelvey, BC; Hambrey, MJ; Harwood, DM; Mabin, MCG; Webb, PN; Whitehead, JM</t>
  </si>
  <si>
    <t>The Pagodroma Group - a Cenozoic record of the East Antarctic ice sheet in the northern Prince Charles Mountains</t>
  </si>
  <si>
    <t>Antarctic glacial history; Cenozoic stratigraphy; fjordal sedimentation</t>
  </si>
  <si>
    <t>BAINMEDART COAL MEASURES; GLACIER DRAINAGE-BASIN; TRANSANTARCTIC MOUNTAINS; SOUTHERN-OCEAN; RE-ASSESSMENT; MASS BALANCE; SIRIUS GROUP; AMERY OASIS; PRYDZ BAY; MARINE</t>
  </si>
  <si>
    <t>The northern Prince Charles Mountains overlook the western side of the 700 km. long Lambert Glacier-Amery Ice Shelf drainage system. Within these mountains, at Amery Oasis (70 degrees 50'S, 68 degrees 00'E) and Fisher Massif (71 degrees 31'S, 67 degrees 40'E), the Cenozoic glaciomarine Pagodroma Group consists of four uplifted Miocene and Pliocene-early Pleistocene formations here named the Mount Johnston, Fisher Bench, Battye Glacier and Bardin Bluffs formations. These are composed of massive and stratified diamicts, boulder gravels and minor laminated sandstones, siltstones and mudstones. Each formation rests on either Precambrian metamorphic rocks, or on Permo-Triassic fluvial strata. The unconformity surfaces are parts of the walls and floors of palaeofjords. The Miocene Fisher Bench Formation exceeds 350 m in thickness at Fisher Massif, where the yet older Miocene (or Oligocene) Mount Johnston Formation overlies basement rocks at up to 1400 m above sea level. Individual formations contain either Miocene diatoms, or else Pliocene-early Pleistocene diatomforam assemblages. The diamicts are interpreted as fjordal ice-proximal or ice-contact sediments, deposited seawards of tidewater glacier fronts located some 250 to 300 km inland of the present ocean margin. Each formation records an ice recession following a glacial expansion.</t>
  </si>
  <si>
    <t>Univ New England, Armidale, NSW 2351, Australia; Univ Wales, Ctr Glaciol, Inst Geog &amp; Earth Sci, Aberystwyth SY23 3DB, Dyfed, Wales; Univ Nebraska, Dept Geosci, Lincoln, NE 68588 USA; James Cook Univ N Queensland, Dept Trop Environm Studies &amp; Geog, Townsville, Qld 4811, Australia; Ohio State Univ, Dept Geol Sci, Columbus, OH 43210 USA; Univ Tasmania, Inst Antarctic &amp; So Ocean Studies, Antarctic CRC, Hobart, Tas 7001, Australia</t>
  </si>
  <si>
    <t>University of New England; Aberystwyth University; University of Nebraska System; University of Nebraska Lincoln; James Cook University; University System of Ohio; Ohio State University; University of Tasmania</t>
  </si>
  <si>
    <t>Univ New England, Armidale, NSW 2351, Australia.</t>
  </si>
  <si>
    <t>10.1017/S095410200100061X</t>
  </si>
  <si>
    <t>WOS:000172734600013</t>
  </si>
  <si>
    <t>Samsonoff, WA; MacColl, R</t>
  </si>
  <si>
    <t>Biliproteins and phycobilisomes from cyanobacteria and red algae at the extremes of habitat</t>
  </si>
  <si>
    <t>ARCHIVES OF MICROBIOLOGY</t>
  </si>
  <si>
    <t>phycobilisomes; biliproteins; extremophiles; Antarctic algae; cyanophytes; red algae</t>
  </si>
  <si>
    <t>AMINO-ACID-SEQUENCE; RHODOPHYTE CYANIDIUM-CALDARIUM; UNICELLULAR RHODOPHYTE; ALPHA-SUBUNIT; C-PHYCOCYANIN; BETA-SUBUNIT; MASTIGOCLADUS-LAMINOSUS; SYNECHOCOCCUS-LIVIDUS; ACARYOCHLORIS-MARINA; CHLOROPHYLL-D</t>
  </si>
  <si>
    <t>This review considers the properties of biliproteins from cyanobacteria and red algae that grow in extreme habitats. Three situations are presented: cyanobacteria that grow at high temperatures; a red alga that grows in acidic conditions at high temperature; and an Antarctic red alga that grows in the cold in dim light conditions. In particular, the properties of their biliproteins are compared to those from organisms from more usual environments. C-phycocyanins from two cyanobacteria able to grow at high temperatures are found to differ in their stabilities when compared to C-phycocyanin from mesophilic algae. They differ in opposite ways, however. One is more stable to dissociation than the mesophilic protein, and the other is more easily dissociated at low temperatures. The thermophilic proteins resist thermal denaturation much better than the mesophilic proteins. The most thermophilic cyanobacterium has a C-phycocyanin with a unique blueshifted absorption maximum which does not appear to be part of the adaptation of the cyanobacterium to high temperature. The C-phycocyanin from the high-temperature red alga is able to resist dissociation better than mesophilic C-phycocyanins. Electron micrographs show the phycobilisomes of these algae. The Antarctic alga grows under ice at some distance down the water column. Its R-phycoerythrin has a novel absorption spectrum that gives the alga an improved ability to harvest blue light. This may enhance its survival in its light-deprived habitat.</t>
  </si>
  <si>
    <t>New York State Dept Hlth, Wadsworth Ctr, Albany, NY 12201 USA</t>
  </si>
  <si>
    <t>State University of New York (SUNY) System; Wadsworth Center</t>
  </si>
  <si>
    <t>New York State Dept Hlth, Wadsworth Ctr, POB 509, Albany, NY 12201 USA.</t>
  </si>
  <si>
    <t>samsonw@wadsworth.org</t>
  </si>
  <si>
    <t>0302-8933</t>
  </si>
  <si>
    <t>1432-072X</t>
  </si>
  <si>
    <t>ARCH MICROBIOL</t>
  </si>
  <si>
    <t>Arch. Microbiol.</t>
  </si>
  <si>
    <t>10.1007/s002030100346</t>
  </si>
  <si>
    <t>501HJ</t>
  </si>
  <si>
    <t>WOS:000172679000002</t>
  </si>
  <si>
    <t>Weaver, AJ; Eby, M; Wiebe, EC; Bitz, CM; Duffy, PB; Ewen, TL; Fanning, AF; Holland, MM; MacFadyen, A; Matthews, HD; Meissner, KJ; Saenko, O; Schmittner, A; Wang, HX; Yoshimori, M</t>
  </si>
  <si>
    <t>The UVic Earth System Climate Model: Model description, climatology, and applications to past, present and future climates</t>
  </si>
  <si>
    <t>SEA-SURFACE TEMPERATURE; ATLANTIC THERMOHALINE CIRCULATION; OCEAN-ATMOSPHERE MODEL; DEEP-WATER FLUX; ICE-SHEET; THICKNESS DISTRIBUTION; SOUTHERN-OCEAN; INTERMEDIATE COMPLEXITY; THERMAL-EXPANSION; CONTINENTAL ICE</t>
  </si>
  <si>
    <t>A new earth system climate model of intermediate complexity has been developed and its climatology compared to observations. The UVic Earth System Climate Model consists of a three-dimensional ocean general circulation model coupled to a thermodynamic/dynamic sea-ice model, an energy-moisture balance atmospheric model with dynamical feedbacks, and a thermomechanical land-ice model. In order to keep the model computationally efficient a reduced complexity atmosphere model is used. Atmospheric heat and freshwater transports are parametrized through Fickian diffusion, and precipitation is assumed to occur when the relative humidity is greater than 85%. Moisture transport can also be accomplished through advection if desired. Precipitation over land is assumed to return instantaneously to the ocean via one of 33 observed river drainage basins. Ice and snow albedo feedbacks are included in the coupled model by locally increasing the prescribed latitudinal profile of the planetary albedo. The atmospheric model includes a parametrization of water vapour/planetary longwave feedbacks, although the radiative forcing associated with changes in atmospheric CO2 is prescribed as a modification of the planetary longwave radiative flux. A specified lapse rate is used to reduce the surface temperature over land where there is topography. The model uses prescribed present-day winds in its climatology, although a dynamical wind feedback is included which exploits a latitudinally-varying empirical relationship between atmospheric surface temperature and density. The ocean component of the coupled model is based on the Geophysical Fluid Dynamics Laboratory (GFDL) Modular Ocean Model 2.2, with a global resolution of 3.6degrees (zonal) by 1.8degrees (meridional) and 19 vertical levels, and includes an option for brine-rejection parametrization. The sea-ice component incorporates an elastic-viscous-plastic rheology to represent sea-ice dynamics and various options for the representation of sea-ice thermodynamics and thickness distribution. The systematic comparison of the coupled model with observations reveals good agreement, especially when moisture transport is accomplished through advection. Global warming simulations conducted using the model to explore the role of moisture advection reveal a climate sensitivity of 3.0degreesC for a doubling of CO2, in line with other more comprehensive coupled models. Moisture advection, together with the wind feedback, leads to a transient simulation in which the meridional overturning in the North Atlantic initially weakens, but is eventually re-established to its initial strength once the radiative forcing is held fixed, as found in many coupled atmosphere General Circulation Models (GCMs). This is in contrast to experiments in which moisture transport is accomplished through diffusion whereby the overturning is re-established to a strength that is greater than its initial condition. When applied to the climate of the Last Glacial Maximum (LGM), the model obtains tropical cooling (30degreesN-30degreesS), relative to the present, of about 2.1degreesC over the ocean and 3.6degrees C over the land. These are generally cooler than CLIMAP estimates, but not as cool as some other reconstructions. This moderate cooling is consistent with alkenone reconstructions and a low to medium climate sensitivity to perturbations in radiative forcing. An amplification of the cooling occurs in the North Atlantic due to the weakening of North Atlantic Deep Water formation. Concurrent with this weakening is a shallowing of, and a more northward penetration of, Antarctic Bottom Water. Climate models are usually evaluated by spinning them up under perpetual present-day forcing and comparing the model results with present-day observations. Implicit in this approach is the assumption that the present-day observations are in equilibrium with the present-day radiative forcing. The comparison of a long transient integration (starting at 6 KBP), forced by changing radiative forcing (solar, CO2, orbital), with an equilibrium integration reveals substantial differences. Relative to the climatology from the present-day equilibrium integration, the global mean surface air and sea surface temperatures (SSTs) are 0.74degreesC and 0.55degreesC colder, respectively. Deep ocean temperatures are substantially cooler and southern hemisphere sea-ice cover is 22% greater, although the North Atlantic conveyor remains remarkably stable in all cases. The differences are due to the long timescale memory of the deep ocean to climatic conditions which prevailed throughout the late Holocene. It is also demonstrated that a global warming simulation that starts from an equilibrium present-day climate (cold start) underestimates the global temperature increase at 2100 by 13% when compared to a transient simulation, under historical solar, CO2 and orbital forcing, that is also extended out to 2100. This is larger (13% compared to 9.8%) than the difference from an analogous transient experiment which does not include historical changes in solar forcing. These results suggest that those groups that do not account for solar forcing changes over the twentieth century may slightly underestimate (similar to3% in our model) the projected warming by the year 2100.</t>
  </si>
  <si>
    <t>Univ Victoria, Sch Earth &amp; Ocean Sci, Victoria, BC V8W 3P6, Canada; Polar Sci Ctr, Appl Phys Lab, Seattle, WA USA; Natl Ctr Atmospher Res, Boulder, CO 80307 USA; Lawrence Livermore Natl Lab, Livermore, CA USA</t>
  </si>
  <si>
    <t>University of Victoria; National Center Atmospheric Research (NCAR) - USA; United States Department of Energy (DOE); Lawrence Livermore National Laboratory</t>
  </si>
  <si>
    <t>Univ Victoria, Sch Earth &amp; Ocean Sci, POB 3055, Victoria, BC V8W 3P6, Canada.</t>
  </si>
  <si>
    <t>weaver@ocean.seos.uvic.ca</t>
  </si>
  <si>
    <t>Eby, Michael/H-5278-2013; Bitz, Cecilia M/S-8423-2016; /AAD-2430-2020; Schmittner, Andreas/O-9647-2015; Weaver, Andrew J/E-7590-2011; Wiebe, Edward c/E-5532-2015; Matthews, Damon/A-8965-2008; Schmittner, Andreas/A-3101-2008; Ewen, Tracy/AAG-7948-2019</t>
  </si>
  <si>
    <t>/0000-0003-3625-390X; Schmittner, Andreas/0000-0002-8376-0843; Weaver, Andrew J/0000-0001-8919-3598; Ewen, Tracy/0000-0002-7751-5235; Bitz, Cecilia/0000-0002-9477-7499; Holland, Marika/0000-0001-5621-8939; Wiebe, Edward/0000-0003-1583-6209; Meissner, Katrin/0000-0002-0716-7415; Yoshimori, Masakazu/0000-0003-0236-8442</t>
  </si>
  <si>
    <t>CMOS-SCMO</t>
  </si>
  <si>
    <t>BOX 3211, STATION D, OTTAWA, ON K1P 6H7, CANADA</t>
  </si>
  <si>
    <t>1480-9214</t>
  </si>
  <si>
    <t>10.1080/07055900.2001.9649686</t>
  </si>
  <si>
    <t>514MZ</t>
  </si>
  <si>
    <t>WOS:000173445700001</t>
  </si>
  <si>
    <t>Watkins, AB</t>
  </si>
  <si>
    <t>Seasonal climate summary southern hemisphere (spring, 2000): a third successive positive phase of the Southern Oscillation begins</t>
  </si>
  <si>
    <t>LA-NINA; EL-NINO; VARIABILITY; SENSITIVITY; FREQUENCY; BLOCKING</t>
  </si>
  <si>
    <t>Atmospheric and oceanic conditions in the southern hemisphere are reviewed for the 2000 austral spring season. Particular emphasis is given to the Australian and Pacific regions. After a neutral winter, Southern Oscillation Index (SOI) values rose during the spring, achieving positive values for the third year in succession. The high SOI observed later in the season was reflected in the rainfall sand maximum and minimum temperatures for Australia, with above average rainfall totals over much of the continent (resulting in flooding in northern New South Wales and southern Queensland), and cooler (warmer) temperatures in the northern (southern) regions; However, oceanic El Nino - Southern Oscillation (ENSO) indicators remained near normal; suggesting the ENSO :state for spring 2000 was neutral. Elsewhere, outgoing long wave radiation values suggested the South Pacific convergence zone was southwest of its springtime climatological position. Mean sea:. level pressure over Australia was generally near normal, with positive anomalies in the Tasman Sea associated with increased blocking. Over the Antarctic, the springtime ozone hole expanded to its largest size on record, peaking in area at over 28 million square kilometres early in the season.</t>
  </si>
  <si>
    <t>Bur Meteorol, Natl Climate Ctr, Melbourne, Vic 3001, Australia</t>
  </si>
  <si>
    <t>Bureau of Meteorology - Australia</t>
  </si>
  <si>
    <t>Watkins, AB (corresponding author), Bur Meteorol, Natl Climate Ctr, GPO Box 1289K, Melbourne, Vic 3001, Australia.</t>
  </si>
  <si>
    <t>A.Watkins@bom.gov.au</t>
  </si>
  <si>
    <t>517DK</t>
  </si>
  <si>
    <t>WOS:000173595700004</t>
  </si>
  <si>
    <t>Mori, Y; Yoda, K; Sato, K</t>
  </si>
  <si>
    <t>Defining dive bouts using a sequential differences analysis</t>
  </si>
  <si>
    <t>BEHAVIOUR</t>
  </si>
  <si>
    <t>ANTARCTIC FUR SEALS; SPLITTING BEHAVIOR; DIVING BEHAVIOR; ADELIE PENGUINS; FORAGING BEHAVIOR; PREY ABUNDANCE; TIME; PERFORMANCE; PATTERNS; ATTACHMENT</t>
  </si>
  <si>
    <t>Bout analysis searches for a bout-ending criterion (BEC) to determine whether successive events are part of the same bout. Methods widely used for finding the BEC are log-survivorship, log-frequency, and log-normal analyses. These analyses are based on the assumption that frequency distributions of event intervals can be described by two or three random distributions, and that the mean interval within a bout is common to all other bouts. Diving typically occurs in bouts. Since a dive bout is a sequence of complex behaviours in which the duration, depth, and interval between dives may all be adapted for optimal foraging, it is unreasonable to assume that the mean dive interval within a bout is common to all other dive bouts. Furthermore, one should not assume that dives might be split into bouts based only on dive interval without considering other characteristics, such as dive depth. Here we propose a new method, the sequential differences analysis, to find the BEC for dive bout analysis. This method has two features: (1) the frequency of differences in dive characteristics between two successive dives is used instead of the frequency of dive intervals, and (2) along with the dive interval, other characteristics are used to determine the BEC. Compared with the log-frequency analysis using dive intervals, the sequential differences analysis results in bouts with less variation (i.e. a smaller coefficient of variation) in dive characteristics, and a smaller number of dives within a bout. This suggests that our method splits dive sequences into bouts at a finer scale than the existing method. The sequential differences analysis is useful for dividing a sequence of complex behaviours with several characteristics into more meaningful bouts.</t>
  </si>
  <si>
    <t>Kyoto Univ, Grad Sch Sci, Dept Zool, Sakyo Ku, Kyoto 6068502, Japan; Natl Inst Polar Res, Tokyo 1738515, Japan</t>
  </si>
  <si>
    <t>Kyoto University; Research Organization of Information &amp; Systems (ROIS); National Institute of Polar Research (NIPR) - Japan</t>
  </si>
  <si>
    <t>Kyoto Univ, Grad Sch Sci, Dept Zool, Sakyo Ku, Kyoto 6068502, Japan.</t>
  </si>
  <si>
    <t>yosihisa@zoo.zool.kyoto-u.ac.jp</t>
  </si>
  <si>
    <t>0005-7959</t>
  </si>
  <si>
    <t>1568-539X</t>
  </si>
  <si>
    <t>Behaviour</t>
  </si>
  <si>
    <t>11-12</t>
  </si>
  <si>
    <t>10.1163/156853901317367690</t>
  </si>
  <si>
    <t>Behavioral Sciences; Zoology</t>
  </si>
  <si>
    <t>535PB</t>
  </si>
  <si>
    <t>WOS:000174651900009</t>
  </si>
  <si>
    <t>Williams, PJ</t>
  </si>
  <si>
    <t>On floating ice.: Two years on an Antarctic ice-shelf south of 75°S</t>
  </si>
  <si>
    <t>CANADIAN GEOGRAPHER-GEOGRAPHE CANADIEN</t>
  </si>
  <si>
    <t>Carleton Univ, Ottawa, ON K1S 5B6, Canada</t>
  </si>
  <si>
    <t>Carleton University</t>
  </si>
  <si>
    <t>Williams, PJ (corresponding author), Carleton Univ, Ottawa, ON K1S 5B6, Canada.</t>
  </si>
  <si>
    <t>CANADIAN ASSN GEOGRAPHERS</t>
  </si>
  <si>
    <t>MONTREAL</t>
  </si>
  <si>
    <t>MCGILL UNIV, BURNSIDE HALL, 805 SHERBROKKE ST., WEST, MONTREAL, QUEBEC H3A 2K6, CANADA</t>
  </si>
  <si>
    <t>0008-3658</t>
  </si>
  <si>
    <t>CAN GEOGR-GEOGR CAN</t>
  </si>
  <si>
    <t>Can. Geogr.-Geogr. Can.</t>
  </si>
  <si>
    <t>WIN</t>
  </si>
  <si>
    <t>532AE</t>
  </si>
  <si>
    <t>WOS:000174448800009</t>
  </si>
  <si>
    <t>Papayannis, DK; Kosmas, AM</t>
  </si>
  <si>
    <t>Quasiclassical trajectory studies on the gas-phase BrO self-reaction</t>
  </si>
  <si>
    <t>CANADIAN JOURNAL OF CHEMISTRY-REVUE CANADIENNE DE CHIMIE</t>
  </si>
  <si>
    <t>quasiclassical trajectories; internal energy; disposal of total energy</t>
  </si>
  <si>
    <t>AB-INITIO; ANTARCTIC OZONE; TEMPERATURE-DEPENDENCE; REACTION SELECTIVITY; VIBRATIONAL-SPECTRA; RELATIVE ENERGETICS; CHLORINE OXIDES; RATE-CONSTANT; REACTION CLO; KINETICS</t>
  </si>
  <si>
    <t>The effect of initial vibrational energy and the mode of disposal of available energy into products for the disproportionation reaction between BrO radicals are studied using the quasiclassical trajectory (QCT) technique. The calculations are performed on an analytical potential enegy surface based on ab initio results reported for the three isomeric forms of (BrO)(2) system. The results indicate a mild dependence on reactant vibrational energy, which is discussed in terms of the mechanistic aspects of the reaction. The study of the distribution of total accessible energy among products indicates a different mode of energy disposal in each path and hence important differences on the mechanism by which each channel takes place.</t>
  </si>
  <si>
    <t>Univ Ioannina, Dept Chem, Phys Chem Lab, GR-45110 Ioannina, Greece</t>
  </si>
  <si>
    <t>University of Ioannina</t>
  </si>
  <si>
    <t>Kosmas, AM (corresponding author), Univ Ioannina, Dept Chem, Phys Chem Lab, GR-45110 Ioannina, Greece.</t>
  </si>
  <si>
    <t>0008-4042</t>
  </si>
  <si>
    <t>CAN J CHEM</t>
  </si>
  <si>
    <t>Can. J. Chem.-Rev. Can. Chim.</t>
  </si>
  <si>
    <t>515VU</t>
  </si>
  <si>
    <t>WOS:000173518000014</t>
  </si>
  <si>
    <t>Belzile, C; Vincent, WF; Gibson, JAE; Van Hove, P</t>
  </si>
  <si>
    <t>Bio-optical characteristics of the snow, ice, and water column of a perennially ice-covered lake in the High Arctic</t>
  </si>
  <si>
    <t>SEA-ICE; ULTRAVIOLET-RADIATION; ANTARCTIC LAKE; ELLESMERE ISLAND; UV-RADIATION; PHOTOSYNTHESIS; PHYTOPLANKTON; PRECIPITATION; TEMPERATURE; SURFACE</t>
  </si>
  <si>
    <t>Lake A is a meromictic, perennially ice-covered lake located at the northern limit of North America (latitude 83 degreesN, Ellesmere Island, Canada). In early June 1999, only 0.45% of incident photosynthetically available radiation (PAR) was transmitted through its 2-m ice and 0.5-m snow cover. Removal of snow from 12 m(2) increased PAR under the ice by a factor of 13 and biologically effective ultraviolet radiation (UVR) by a factor of 16 (from 0.4% to 6.3% of incident). The diffuse attenuation coefficient (K-d) for UVR was substantially lower in the ice than in the underlying freshwater (e.g., 50% lower at 320 nm), indicating the exclusion of chromophoric dissolved organic matter (CDOM) during freeze-up or the subsequent degradation of CDOM retained in the ice. Peak phytoplankton concentrations occurred immediately under the ice, and a broad maximum of photosynthetic sulfur bacteria and associated sulfur particles was observed over the depth interval 20-45 m at &lt;0.005% of incident PAR. Climate-induced changes in the overlying snow and ice have the potential to cause major habitat disruption (UV exposure, PAR, temperature, mixing regime) for these stratified, extreme-shade communities.</t>
  </si>
  <si>
    <t>Univ Laval, Dept Biol, St Foy, PQ G1K 7P4, Canada; Univ Laval, Ctr Etud Nord, St Foy, PQ G1K 7P4, Canada</t>
  </si>
  <si>
    <t>Laval University; Laval University</t>
  </si>
  <si>
    <t>Belzile, C (corresponding author), Univ Laval, Dept Biol, St Foy, PQ G1K 7P4, Canada.</t>
  </si>
  <si>
    <t>Vincent, Warwick F/C-9522-2009; Vincent, Warwick/AAH-6152-2019</t>
  </si>
  <si>
    <t>Vincent, Warwick/0000-0001-9055-1938; Belzile, Claude/0000-0003-3908-7433</t>
  </si>
  <si>
    <t>10.1139/cjfas-58-12-2405</t>
  </si>
  <si>
    <t>503WV</t>
  </si>
  <si>
    <t>WOS:000172825400010</t>
  </si>
  <si>
    <t>Salgado, HA</t>
  </si>
  <si>
    <t>Antarctic nautical cartography updated with RADARSAT images</t>
  </si>
  <si>
    <t>Synthetic Aperture Radar (SAR) data overcome the low brightness and high cloudiness prevailing in Antarctica, making SAR images an effective tool to update nautical charts and to monitor changes of Antarctic shorelines. In addition, multiple observation modes (Fine, Standard, ScanSAR) of the Canadian satellite RADARSAT-1 offer many options for obtaining cartography at diverse scales. This paper presents the results of a focussed effort (Argentina's Project GlobeSAR-2, No 7), to determine the contributions of RADARSAT to complement and update nautical and island cartography, in the area surrounding Brabant Island (Isla Brabante), including the Palmer Archipelago (latitude 64 degrees 00'S to 64 degrees 30'S, longitude 62 degrees 00' W to 63 degrees 00'W). Three RADARSAT Standard Mode images with different incidence angles were used. They, were obtained in March 1997 and 1998, at the end of the melting stage of sea ice. RADARSAT data were georeferenced and projected onto a Mercator grid; existing cartography was digitized: the two were then compared to detect navigation obstacles, to discriminate icebergs, and to delineate the coast. As a result, various rocks, small islands, and shallow water features, all of which are obstacles to navigation and which were either not present or insufficiently represented in existing cartography; were detected. The usage of different incidence angles allowed a better identification of the coastline in closed or protected areas, such as bays and gulfs. The main conclusion is that the various RADARSAT SAR modes (range of incidence angles) provide an important means to complement and update Antarctic nautical cartography.</t>
  </si>
  <si>
    <t>Serv Hidrog Naval, RA-1104 Buenos Aires, DF, Argentina</t>
  </si>
  <si>
    <t>Servicio de Hidrografia Naval</t>
  </si>
  <si>
    <t>Salgado, HA (corresponding author), Serv Hidrog Naval, Cdo Py 2055,Piso 15,Ofic 1, RA-1104 Buenos Aires, DF, Argentina.</t>
  </si>
  <si>
    <t>salgado@ara.mil.ar</t>
  </si>
  <si>
    <t>CANADIAN AERONAUTICS &amp; SPACE INST</t>
  </si>
  <si>
    <t>KANATA</t>
  </si>
  <si>
    <t>350 TERRY FOX DR, STE 104, KANATA, ON K2K 2W5, CANADA</t>
  </si>
  <si>
    <t>10.1080/07038992.2001.10854912</t>
  </si>
  <si>
    <t>505EF</t>
  </si>
  <si>
    <t>WOS:000172898100015</t>
  </si>
  <si>
    <t>Lu, LH; Bian, LG; Cheng, YJ; Lu, CG; Tang, J</t>
  </si>
  <si>
    <t>Surface ozone observations during voyages to the Arctic and Antarctic regions</t>
  </si>
  <si>
    <t>CHINESE SCIENCE BULLETIN</t>
  </si>
  <si>
    <t>Arctic and Antarctic expedition; route observations; surface ozone; characteristics</t>
  </si>
  <si>
    <t>Surface ozone concentration and UV-B data between 75degrees N and 70degrees S were obtained aboard the Chinese polar scientific vessel Xue-long (Snow-Dragon) during the first voyage to the Arctic and the 16th to the Antarctic in 1999-2000. Analysis of these data presents that variations of the surface ozone concentration have small amplitude during voyages except the mid-latitude in the Northern Hemisphere. As a whole, average surface ozone concentration in the Northern Hemisphere is higher than that in the Southern, and high value occurred when the ship sailed close to the continents. The average diurnal variations of the surface ozone in the Northern Hemisphere are also higher compared to the southern counterparts, and high diurnal variations were found at low latitudes, and relative low level in the polar region.</t>
  </si>
  <si>
    <t>Chinese Acad Meteorol Sci, Beijing 100081, Peoples R China</t>
  </si>
  <si>
    <t>China Meteorological Administration; Chinese Academy of Meteorological Sciences (CAMS)</t>
  </si>
  <si>
    <t>Lu, LH (corresponding author), Chinese Acad Meteorol Sci, Beijing 100081, Peoples R China.</t>
  </si>
  <si>
    <t>SCIENCE CHINA PRESS</t>
  </si>
  <si>
    <t>BEIJING</t>
  </si>
  <si>
    <t>16 DONGHUANGCHENGGEN NORTH ST, BEIJING 100717, PEOPLES R CHINA</t>
  </si>
  <si>
    <t>1001-6538</t>
  </si>
  <si>
    <t>CHINESE SCI BULL</t>
  </si>
  <si>
    <t>Chin. Sci. Bull.</t>
  </si>
  <si>
    <t>10.1007/BF02901915</t>
  </si>
  <si>
    <t>513MG</t>
  </si>
  <si>
    <t>WOS:000173381900015</t>
  </si>
  <si>
    <t>Wind to power Antarctic station</t>
  </si>
  <si>
    <t>501AZ</t>
  </si>
  <si>
    <t>WOS:000172662000009</t>
  </si>
  <si>
    <t>Gregory, JM; Church, JA; Boer, GJ; Dixon, KW; Flato, GM; Jackett, DR; Lowe, JA; O'Farrell, SP; Roeckner, E; Russell, GL; Stouffer, RJ; Winton, M</t>
  </si>
  <si>
    <t>Comparison of results from several AOGCMs for global and regional sea-level change 1900-2100</t>
  </si>
  <si>
    <t>OCEAN-ATMOSPHERE MODEL; TRANSIENT CLIMATE-CHANGE; EDDY-INDUCED ADVECTION; COLD START PROBLEM; CARBON-DIOXIDE; COUPLED MODEL; GREENHOUSE-GAS; THERMOHALINE CIRCULATION; CHANGE SIMULATIONS; THERMAL-EXPANSION</t>
  </si>
  <si>
    <t>Sea-level rise is an important aspect of climate change because of its impact on society and ecosystems. Here we present an intercomparison of results from ten coupled atmosphere-ocean general circulation models (AOGCMs) for sea-level changes simulated for the twentieth century and projected to occur during the twenty first century in experiments following scenario IS92a for greenhouse gases and sulphate aerosols. The model results suggest that the rate of sea-level rise due to thermal expansion of sea water has increased during the twentieth century, but the small set of tide gauges with long records might not be adequate to detect this acceleration. The rate of sea-level rise due to thermal expansion continues to increase throughout the twenty first century, and the projected total is consequently larger than in the twentieth century; for 1990-2090 it amounts to 0.20-0.37 in. This wide range results from systematic uncertainty in modelling of climate change and of heat uptake by the ocean. The AOGCMs agree that sea-level rise is expected to be geographically non-uniform, with some regions experiencing as much as twice the global average, and others practically zero, but they do not agree about the geographical pattern. The lack of agreement indicates that we cannot currently have confidence in projections of local sea-level changes, and reveals a need for detailed analysis and intercomparison in order to understand and reduce the disagreements.</t>
  </si>
  <si>
    <t>Meterol Off, Hadley Ctr, Bracknell RG12 2SY, Berks, England; Antarctic CRC, Hobart, Tas 7001, Australia; CSIRO, Marine Res, Hobart, Tas 7001, Australia; Univ Victoria, Canadian Ctr Climate Modeling &amp; Anal, Victoria, BC V8W 2Y2, Canada; Geophys Fluid Dynam Lab, Princeton, NJ 08542 USA; CSIRO, Atmospher Res, Aspendale, Vic 3195, Australia; Max Planck Inst Meteorol, D-20146 Hamburg, Germany; NASA, Goddard Inst Space Studies, New York, NY 10025 USA</t>
  </si>
  <si>
    <t>Met Office - UK; Hadley Centre; Commonwealth Scientific &amp; Industrial Research Organisation (CSIRO); Environment &amp; Climate Change Canada; Canadian Centre for Climate Modelling &amp; Analysis (CCCma); University of Victoria; National Oceanic Atmospheric Admin (NOAA) - USA; Commonwealth Scientific &amp; Industrial Research Organisation (CSIRO); Max Planck Society; National Aeronautics &amp; Space Administration (NASA); NASA Goddard Space Flight Center; Goddard Institute for Space Studies</t>
  </si>
  <si>
    <t>Meterol Off, Hadley Ctr, London Rd, Bracknell RG12 2SY, Berks, England.</t>
  </si>
  <si>
    <t>jmgregory@meto.gov.uk</t>
  </si>
  <si>
    <t>boer, george/AAB-1269-2021; Gregory, Jonathan/J-2939-2016; Flato, Gregory M/K-6711-2015; Church, John A/A-1541-2012; Dixon, Keith/L-7120-2015</t>
  </si>
  <si>
    <t>Gregory, Jonathan/0000-0003-1296-8644; Church, John A/0000-0002-7037-8194; Dixon, Keith/0000-0003-3044-326X; Russell, Gary/0000-0001-7174-5825</t>
  </si>
  <si>
    <t>10.1007/s003820100180</t>
  </si>
  <si>
    <t>508QE</t>
  </si>
  <si>
    <t>WOS:000173099400005</t>
  </si>
  <si>
    <t>Howe, J; Cantrill, DJ</t>
  </si>
  <si>
    <t>Palaeoecology and taxonomy of Pentoxylales from the Albian of Antarctica</t>
  </si>
  <si>
    <t>CRETACEOUS RESEARCH</t>
  </si>
  <si>
    <t>Pentoxylales; Pentoxylon; Taeniopteris; Carnoconites; Antarctica; Albian</t>
  </si>
  <si>
    <t>ALEXANDER-ISLAND; FOSSIL FORESTS; PLANT; PALEOECOLOGY; CONSTRAINTS</t>
  </si>
  <si>
    <t>Reproductive pentoxylalean material from the Albian Triton Point Formation, Fossil Bluff Group of Alexander Island, Antarctica is the youngest record of this group globally. Leaves are referred to Taeniopteris daintreei McCoy, ovulate reproductive organs to Carnoconites cranwelli Harris, and stem material to Pentoxylon sp. Occurring in leaf litter layers on palaeosol surfaces the sedimentology suggests that pentoxylalean plants grew upon areas of the floodplain distal to the river channel, where they covered the forest floor in a similar habit to modem brambles. The forest floor was shared with Equisetales and liverworts, an abundance of ferns [Cladophlebis Brongniart, Gleichenites Goeppert, Phyllopteroides Medwell, Sphenopteris (Brongniart) Sternberg], as well as angiosperms. Bennettitales, Ginkgoites Seward and Nlilssonia Brongniart were rare within these communities, as were coniferous trees. (C) 2001 Academic Press.</t>
  </si>
  <si>
    <t>Univ Leeds, Dept Earth Sci, Leeds LS2 9JT, W Yorkshire, England; British Antarctic Survey, NERC, Cambridge CB3 0ET, England</t>
  </si>
  <si>
    <t>University of Leeds; UK Research &amp; Innovation (UKRI); Natural Environment Research Council (NERC); NERC British Antarctic Survey</t>
  </si>
  <si>
    <t>Howe, J (corresponding author), Univ Leeds, Dept Earth Sci, Leeds LS2 9JT, W Yorkshire, England.</t>
  </si>
  <si>
    <t>0195-6671</t>
  </si>
  <si>
    <t>CRETACEOUS RES</t>
  </si>
  <si>
    <t>Cretac. Res.</t>
  </si>
  <si>
    <t>10.1006/cres.2001.0286</t>
  </si>
  <si>
    <t>535KM</t>
  </si>
  <si>
    <t>WOS:000174643700009</t>
  </si>
  <si>
    <t>Gowing, MM; Garrison, DL; Kunze, HB; Winchell, CJ</t>
  </si>
  <si>
    <t>Biological components of Ross Sea short-term particle fluxes in the austral summer of 1995-1996</t>
  </si>
  <si>
    <t>Antarctic; Ross Sea; Phaeocystis; diatoms; carbon flux</t>
  </si>
  <si>
    <t>PHAEOCYSTIS-POUCHETII HARIOT; PARTICULATE ORGANIC-CARBON; SEDIMENT TRAP OBSERVATIONS; VERTICAL FLUX; WEDDELL SEA; PHYTOPLANKTON BIOMASS; PRIMARY PRODUCTIVITY; MCMURDO-SOUND; WATER COLUMN; TROPHIC FATE</t>
  </si>
  <si>
    <t>The Ross Sea, a region of high seasonal production in the Southern Ocean, is characterized by blooms of the haptophyte Phaeocystis antarctica and of diatoms. The different morphology, structural composition and consumption of these two phytoplankton by grazing zooplankton may result in different carbon cycling dynamics and carbon flux from the euphotic zone. We sampled short-term (similar to 2 days) particle flux at 5 sites from 177.6 degreesW to 165 degreesE along a transect at 76.5 degreesS with traps placed below the euphotic zone at 200 m during December 1995-January 1996. We estimated carbon flux of as many eucaryotic organisms and fecal pellets as possible using microscopy for counts and measurements and applying volume:carbon conversions from the literature. Eucaryotic organisms contributed about 20-40% of the total organic carbon flux in both the central Ross Sea polynya and in the western polynya, and groups of organisms differed in contribution to the carbon flux at the different sites. Algal carbon flux ranged from 4.5 to 21.1 mg C m(-2) day(-1) and consisted primarily of P. antarctica (cell plus mucus) and diatom carbon at all sites. Different diatom species dominated the diatom flux at different sites. Carbon fluxes of small pennate diatoms may have been enhanced by scavenging, by sinking senescent P. antarctica colonies. Heterotrophic carbon flux ranged from 9.2 to 37.6 mg C m(-2) day(-1) and was dominated by athecate heterotrophic dinoflagellate carbon in general and by carbon flux of a particular large athecate dinoflagellate at two sites. Fecal pellet carbon flux ranged from 4.6 to 54.5 mg C m(-2) day(-1) and was dominated by carbon from ovoid/angular pellets at most sites. Analysis of fecal pellet contents suggested that large protozoans identified by light microscopy contributed to ovoid/angular fecal pellet fluxes. Carbon flux as a percentage of daily primary production was lowest at sites where P. antarctica predominated in the water column and was highest at sites where fecal pellet flux was highest. This indicates the importance of grazers in carbon export. (C) 2001 Elsevier Science Ltd. All rights reserved.</t>
  </si>
  <si>
    <t>Univ Calif Santa Cruz, Inst Marine Sci, Santa Cruz, CA 95064 USA; Natl Sci Fdn, Div Ocean Sci, Arlington, VA 22230 USA; Washington State Univ, Sch Biol Sci, Pullman, WA 99164 USA</t>
  </si>
  <si>
    <t>University of California System; University of California Santa Cruz; National Science Foundation (NSF); NSF - Directorate for Geosciences (GEO); NSF - Division of Ocean Sciences (OCE); Washington State University</t>
  </si>
  <si>
    <t>Univ Calif Santa Cruz, Inst Marine Sci, Santa Cruz, CA 95064 USA.</t>
  </si>
  <si>
    <t>gowing@cats.ucsc.edu</t>
  </si>
  <si>
    <t>10.1016/S0967-0637(01)00034-6</t>
  </si>
  <si>
    <t>480TD</t>
  </si>
  <si>
    <t>WOS:000171478100006</t>
  </si>
  <si>
    <t>Romero, OE; Hebbeln, D; Wefer, G</t>
  </si>
  <si>
    <t>Temporal and spatial variability in export production in the SE Pacific Ocean: evidence from siliceous plankton fluxes and surface sediment assemblages</t>
  </si>
  <si>
    <t>coastal upwelling; diatoms; El Nino; particle flux; plankton; surface sediments</t>
  </si>
  <si>
    <t>SUB-ARCTIC PACIFIC; 1982-1983 EL-NINO; EQUATORIAL ATLANTIC; DIATOM FLUXES; CHILE; PHYTOPLANKTON; RECORD; PATTERNS; TRAPS; BASIN</t>
  </si>
  <si>
    <t>Flux of siliceous plankton and taxonomic composition of diatom and silicoflagellate assemblages were determined from sediment trap samples collected in coastal upwelling-influenced waters off northern Chile (30 degreesS, CH site) under normal or non-El Nino (1993-94) and El Nino conditions (1997-98). In addition, concentration of biogenic opal and siliceous plankton, and diatom and silicoflagellate assemblages preserved in surface sediments are provided for a wide area between 27 degrees and 43 degreesS off Chile. Regardless of the year, winter upwelling determines the maximum production pattern of siliceous microorganisms, with diatoms numerically dominating the biogenic opal flux. During the El Nino year the export is markedly lower: on an annual basis, total mass flux diminished by 60%, and diatom and silicoflagellate export by 75%. Major components of the diatom flora maintain much of their regular seasonal cycle of flux maxima and minima during both sampling periods. Neritic resting spores (RS) of Chaetoceros dominate the diatom flux, mirroring the influence of coastal-upwelled waters at the CH trap site. Occurrence of pelagic diatoms species Fragilariopsis doliolus, members of the Rhizosoleniaceae, Azpeitia spp. and Nitzschia interruptestriata, secondary components of the assemblage, reflects the intermingling of warmer waters of the Subtropical Gyre. Dictyocha messanensis dominates the silicoflagellate association almost year-around, but Distephanus pulchra delivers ca. 60% of its annual production in less than three weeks during the winter peak. The siliceous thanatocoenosis is largely dominated by diatoms, whose assemblage shows significant qualitative and quantitative variations from north to south. Between 27 degrees and 35 degreesS, the dominance of RS Chaetoceros, Thalassionema nitzschioides var. nitzschioides and Skeletonema costatum reflects strong export production associated with occurrence of coastal upwelling. Both highest biogenic opal content and diatom concentration at 35 degrees and 41 degrees -43 degreesS coincide with highest pigment concentrations along the Chilean coast. Predominance of the diatom species Thalassiosira pacifica and T. poro-irregulata, and higher relative contribution of the silicoflagellate Distephanus speculum at 41 degrees -43 degreesS suggest the influence of more nutrient-rich waters and low sea surface temperatures, probably associated with the Antarctic Circumpolar Water. (C) 2001 Elsevier Science Ltd. All rights reserved.</t>
  </si>
  <si>
    <t>oromero@uni-bremen.de</t>
  </si>
  <si>
    <t>Wefer, Gerold/S-2291-2016; Hebbeln, Dierk/P-9766-2016</t>
  </si>
  <si>
    <t>Wefer, Gerold/0000-0002-6803-2020; Hebbeln, Dierk/0000-0001-5099-6115</t>
  </si>
  <si>
    <t>10.1016/S0967-0637(01)00037-1</t>
  </si>
  <si>
    <t>WOS:000171478100007</t>
  </si>
  <si>
    <t>Boucot, AJ; Gray, J</t>
  </si>
  <si>
    <t>A critique of Phanerozoic climatic models involving changes in the CO2 content of the atmosphere</t>
  </si>
  <si>
    <t>EARTH-SCIENCE REVIEWS</t>
  </si>
  <si>
    <t>global climatic gradient; atmospheric CO2; Phanerozoic; stomates; mycorrhizae; paleogeography; weathering</t>
  </si>
  <si>
    <t>DEEP SUBSURFACE SEDIMENTS; TERM CARBON-CYCLE; VOSTOK ICE-CORE; RHIZOID-ASCOMYCETE ASSOCIATIONS; LATE ORDOVICIAN GLACIATION; SOIL SOLUTION CHEMISTRY; VASCULAR LAND PLANTS; MONTANE RAIN-FOREST; BLUE-GREEN-ALGAE; ORGANIC-CARBON</t>
  </si>
  <si>
    <t>Critical consideration of varied Phanerozoic climatic models, and comparison of them against Phanerozoic global climatic gradients revealed by a compilation of Cambrian through Miocene climatically sensitive sediments (evaporites, coals, tillites, lateritic soils, bauxites, calcretes, etc.) suggests that the previously postulated climatic models do not satisfactorily account for the geological information: Nor do many climatic conclusions based on botanical data stand up very well when examined critically. Although this account does not deal directly with global biogeographic information, another powerful source of climatic information, we have tried to incorporate such data into our thinking wherever possible, particularly in the earlier Paleozoic. In view of the excellent correlation between CO2 present in Antarctic ice cores, going back some hundreds of thousands of years, and global climatic gradient, one wonders whether or not the commonly postulated Phanerozoic connection between atmospheric CO2 and global climatic gradient is more coincidence than cause and effect. Many models have been proposed that attempt to determine atmospheric composition and global temperature through geological time, particularly for the Phanerozoic or significant portions of it. Many models assume a positive correlation between atmospheric CO2 and surface temperature, thus viewing changes in atmospheric CO2 as playing the critical role in regulating climate/temperature, but none agree on the levels of atmospheric CO2 through time. Prior to the relatively recent interval of time in which atmospheric CO2 is directly measurable, a variety of biological and geological proxies have been proposed to correlate with atmospheric CO2 level or with pCO(2)/temperature. Atmospheric models may be constructed for the Pre-Cenozoic but the difficulties of assessing variables in their construction are many and complex. None of the modelers have gathered enough biological and geological data to impart reliability to the model constructs. Most modelers focus almost exclusively on one or a few variables as proxy to measure atmospheric CO2, nor consider the many other variables involved, nor agree on what these variables are or how to measure them. In this paper, it is the reliability of the present data bases used in these atmospheric models that we wish to consider. We focus most attention on the Berner models, such as GEOCARB I, II and BLAG, because of the basic role they attribute to tracheophytes in regulating atmospheric CO2 and our own interest in pre-tracheophytic land plants and the atmospheric composition of the pre-tracheophytic Paleozoic. We survey the presence of symbiotic mycorrhizae and question the assumption that all tracheophytes are obligately associated with them. Although pre-tracheophytic embryophytes, cyanobacteria, and possibly other organisms preceded tracheophytes on land by millions of years, Berner's models do not consider a significant role for them in affecting pre-Devonian climate/temperature and atmospheric composition. In effect, Berner assumes that pre-tracheophytic life inhabited a world governed largely by abiotic physical and chemical reactions. We consider uncertainties raised by minimizing possible roles for pre-tracheophytic oxygenic and heterotrophic microorganisms analogous to those speculated to be unique to tracheophytes both with regard to an active role in biodeterioration of rock and soil mineral substrates and in the sequestration of organic carbon. Additionally, Berner does not consider marine productivity, which might have been high in the Precambrian and Early Paleozoic and possibly consequent organic carbon sequestration, even in the possible absence of terrestrial organisms, or even in the absence of a significant preserved biomass of terrestrial and marine organisms. The important roles played by cyanobacteria, for example, are briefly reviewed by Giller and Malmqvist in lakes and rivers as regards both planktonic and benthic taxa, and it is not safe to assume that these organisms were absent or of no potential significance in the pre-embryophytic, i.e. earlier Ordovician and well back into the Precambrian. Berner's models have met with a large measure of consensus about CO2 balance during the Phanerozoic, about the role played by tracheophytes, and have been used to test or evaluate other data. After reviewing the biological and geological assumptions and estimates on which these Models are based, we conclude that they do not provide reliable information about atmospheric CO2 composition through Phanerozoic time, particularly in the Early Phanerozoic. We compare many atmospheric CO2 models, while considering the numerous proxies on which they are based and conclude that the competing models are inadequate for atmospheric CO estimation. Many possibilities not considered in present models must either be included or eliminated based on reliable evidence. We suggest that assessing Phanerozoic climate/temperature based on the available geological/climatic proxies would appear to provide a more reliable method of estimating variations in CO2 and hence atmospheric CO2:O-2 balance, than most proxy constructs on which atmospheric models are presently based, because of the critical role postulated for atmospheric CO2 in regulating Earth's surface temperature. We present our own Phanerozoic climate estimate, based on readily available geological/climatic data, for comparison with postulated coeval atmospheric CO2 levels as a test of the postulated correlation. (C) 2001 Elsevier Science B.V. All rights reserved.</t>
  </si>
  <si>
    <t>Oregon State Univ, Dept Zool, Corvallis, OR 97331 USA; Univ Oregon, Dept Biol, Eugene, OR 97403 USA</t>
  </si>
  <si>
    <t>Oregon State University; University of Oregon</t>
  </si>
  <si>
    <t>Oregon State Univ, Dept Zool, Corvallis, OR 97331 USA.</t>
  </si>
  <si>
    <t>boucota@bcc.orst.edu</t>
  </si>
  <si>
    <t>0012-8252</t>
  </si>
  <si>
    <t>1872-6828</t>
  </si>
  <si>
    <t>EARTH-SCI REV</t>
  </si>
  <si>
    <t>Earth-Sci. Rev.</t>
  </si>
  <si>
    <t>10.1016/S0012-8252(01)00066-6</t>
  </si>
  <si>
    <t>501DT</t>
  </si>
  <si>
    <t>WOS:000172668100001</t>
  </si>
  <si>
    <t>Rodhouse, PG; Yamashiro, C; Goss, C</t>
  </si>
  <si>
    <t>Special Issue - Squid Fishery Biology in the Eastern Pacific Coastal Upwelling System - Preface and acknowledgements</t>
  </si>
  <si>
    <t>Rodhouse, PG (corresponding author), British Antarctic Survey, NERC, High Cross,Madingley Rd, Cambridge CB3 0ET, England.</t>
  </si>
  <si>
    <t>Yamashiro-Guinoza, Carmen Rosario/0000-0003-4379-4392</t>
  </si>
  <si>
    <t>10.1016/S0165-7836(01)00369-1</t>
  </si>
  <si>
    <t>495GV</t>
  </si>
  <si>
    <t>WOS:000172332600001</t>
  </si>
  <si>
    <t>Rodhouse, PG</t>
  </si>
  <si>
    <t>Managing and forecasting squid fisheries in variable environments</t>
  </si>
  <si>
    <t>1st International Symposium on Pacific Squids</t>
  </si>
  <si>
    <t>OCT, 1999</t>
  </si>
  <si>
    <t>TRUJILLO, PERU</t>
  </si>
  <si>
    <t>squid; fisheries; management; forecasting; environmental variability</t>
  </si>
  <si>
    <t>GULF-OF-CALIFORNIA; DOSIDICUS-GIGAS CEPHALOPODA; STOCK ASSESSMENT; LOLIGO-GAHI; LIFE-CYCLE; BIOLOGY; OMMASTREPHIDAE; VARIABILITY; RECRUITMENT; GROWTH</t>
  </si>
  <si>
    <t>Squid are short-lived ecological opportunists which generally have a lifespan of about I year. Their populations are labile and recruitment variability is driven, to a greater or lesser extent, by the environment. This variability provides a challenge to management because fisheries for short-lived species are best managed by effort limitation and it is difficult to set effort on a rational basis in the absence of information about the abundance of the next generation prior to recruitment. However, recent research has shown that recruitment variability in several squid species can be partly explained by environmental variability derived from synoptic oceanographic data. In the eastern Pacific coastal upwelling system a fishery for Dosidicus gigas has grown rapidly during the last decade and abundance and catch rates seem to be linked to the El Nino/southern oscillation (ENSO) cycle. ENSO is one of the best understood ocean/climate systems and so with increased knowledge of the life cycle biology of D. gigas, this fishery may provide a good model for understanding environmentally driven recruitment variability in exploited squid populations. (C) 2001 Elsevier Science B.V. All rights reserved.</t>
  </si>
  <si>
    <t>pgkr@pcmail.nerc-bas.ac.uk</t>
  </si>
  <si>
    <t>1872-6763</t>
  </si>
  <si>
    <t>10.1016/S0165-7836(01)00370-8</t>
  </si>
  <si>
    <t>WOS:000172332600002</t>
  </si>
  <si>
    <t>Investigations of squid stocks using acoustic survey methods</t>
  </si>
  <si>
    <t>acoustic survey; cephalopoda; squid; biomass; South Atlantic; Loligo gahi</t>
  </si>
  <si>
    <t>LOLIGO-GAHI; ABUNDANCE; FISHERIES; DORBIGNY</t>
  </si>
  <si>
    <t>Acoustic survey methods are now widely used for stock assessments of finfish, both those with and without swimbladders, but their application to squid stocks has been limited in the past, probably because squid are not particularly strong targets for detection with echosounders. Experience with acoustic stock assessment of krill (Euphausia superba) has revealed that it is possible to survey effectively for a species that is a weaker target than squid; this is partly due to the tendency for krill to form dense aggregations. This paper discusses examples of acoustic studies on different squid species from the South Atlantic (Loligo gahi, Martialia hyadesi) and demonstrates that squid detection is possible in widely differing locations. L gahi observed during a survey on the Falkland Shelf were shown to have acoustic characteristics in common with smaller organisms which may enable them to be distinguished acoustically from finfish encountered in these waters. When a species has been characterised acoustically, the technique permits rapid surveys of large areas to determine the geographic range of a population, both outside the usual area that can be surveyed using fishing methods and within areas that are inaccessible to nets for some reason. Crown Copyright (C) 2001 Published by Elsevier Science B.V. All rights reserved.</t>
  </si>
  <si>
    <t>cg@nerc-bas.ac.uk</t>
  </si>
  <si>
    <t>10.1016/S0165-7836(01)00375-7</t>
  </si>
  <si>
    <t>WOS:000172332600010</t>
  </si>
  <si>
    <t>Anderson, CIH; Rodhouse, PG</t>
  </si>
  <si>
    <t>Life cycles, oceanography and variability: ommastrephid squid in variable oceanographic enviromnents</t>
  </si>
  <si>
    <t>ommastrephid squid; life cycles; oceanography; variability</t>
  </si>
  <si>
    <t>ANTARCTIC POLAR FRONT; MARTIALIA-HYADESI CEPHALOPODA; SOUTH-ATLANTIC; PATAGONIAN SHELF; FISHERY BIOLOGY; GROWTH; OCEAN; PREY; CURRENTS; BRAZIL</t>
  </si>
  <si>
    <t>Exploited populations of ommastrephid squid are found under a wide range of oceanographic regimes. However, to date most scientific attention has focussed on those found in northern hemisphere western boundary current systems, and these systems have become the paradigm for theoretical work. Dosidicus gigas, in the east central-southeast Pacific, and Martialia hyadesi, in the southwest Atlantic, provide examples of the interactions between squid life cycles and regional oceanography outside of the paradigm. Illex argentinus, also in the southwest Atlantic, provides a southern hemisphere example of a western boundary current species. These examples are used to highlight the key issues involved in understanding squid population variability within the context of variable oceanographic environments. The issues include the fundamental influence of oceanographic variability on population variability, and the importance of a thorough understanding of the life cycle of the study species in order to detect and understand the relationships between it and the environment. The importance of understanding the relative temporal and spatial scales on which the environmental and biological factors interact is also considered. Overall, a broader understanding of the interactions between oceanographic variability and squid life cycles is necessary to interpret successfully the adaptation of ommastrephid squid species to their environment and to allow the effective forecasting and management of fishery resources. (C) 2001 Elsevier Science BN. Ali rights reserved.</t>
  </si>
  <si>
    <t>Anderson, CIH (corresponding author), British Antarctic Survey, High Cross,Madingley Rd, Cambridge CB3 0ET, England.</t>
  </si>
  <si>
    <t>10.1016/S0165-7836(01)00378-2</t>
  </si>
  <si>
    <t>WOS:000172332600012</t>
  </si>
  <si>
    <t>Watkins, NW; Freeman, MP; Rhodes, CS; Rowlands, G</t>
  </si>
  <si>
    <t>Ambiguities in determination of self-affinity in the AE-index time series</t>
  </si>
  <si>
    <t>FRACTALS-COMPLEX GEOMETRY PATTERNS AND SCALING IN NATURE AND SOCIETY</t>
  </si>
  <si>
    <t>CORRELATION DIMENSION; NONLINEAR DYNAMICS; STOCHASTIC-SYSTEMS; SOLAR-WIND; CRITICALITY; FRACTALS; BEHAVIOR</t>
  </si>
  <si>
    <t>The interaction between the Earth's magnetic field and the solar wind plasma results in a natural plasma confinement system which stores energy. Dissipation of this energy through Joule heating in the ionosphere can be studied via the Auroral Electrojet (AE) index. The apparent broken power law form of the frequency spectrum of this index has motivated investigation of whether it can be described as fractal coloured noise. One frequently-applied test for self-affinity is to demonstrate linear scaling of the logarithm of the structure function of a time series with the logarithm of the dilation factor lambda. We point out that, while this is conclusive when applied to signals that are self-affine over many decades in lambda, such as Brownian motion, the slope deviates from exact linearity and the conclusions become ambiguous when the test is used over shorter ranges of lambda. We demonstrate that non self-affine time series made up of random pulses can show near-linear scaling over a finite dynamic range such that they could be misinterpreted as being self-affine. In particular, we show that pulses with functional forms such as those identified by Weimer within the AL index, from which AE is partly derived, will exhibit nearly linear scaling over ranges similar to those previously shown for AE and AL. The value of the slope, related to the Hurst exponent for a self-affine fractal, seems to be a more robust discriminator for fractality, if other information is available.</t>
  </si>
  <si>
    <t>British Antarctic Survey, Cambridge CB3 0ET, England; Univ Warwick, Space &amp; Astrophys Grp, Coventry CV4 7AL, W Midlands, England</t>
  </si>
  <si>
    <t>UK Research &amp; Innovation (UKRI); Natural Environment Research Council (NERC); NERC British Antarctic Survey; University of Warwick</t>
  </si>
  <si>
    <t>NWW@bas.ac.uk; mpf@bas.ac.uk; csr21@cam.ac.uk; phscv@snow.csv.warwick.ac.uk</t>
  </si>
  <si>
    <t>Watkins, Nick/GPX-7439-2022; Watkins, Nicholas Wynn/C-5140-2008; Freeman, Mervyn/E-5687-2019</t>
  </si>
  <si>
    <t>Watkins, Nick/0000-0003-4484-6588; Watkins, Nicholas Wynn/0000-0003-4484-6588; Freeman, Mervyn/0000-0002-8653-8279</t>
  </si>
  <si>
    <t>WORLD SCIENTIFIC PUBL CO PTE LTD</t>
  </si>
  <si>
    <t>SINGAPORE</t>
  </si>
  <si>
    <t>5 TOH TUCK LINK, SINGAPORE 596224, SINGAPORE</t>
  </si>
  <si>
    <t>0218-348X</t>
  </si>
  <si>
    <t>1793-6543</t>
  </si>
  <si>
    <t>FRACTALS</t>
  </si>
  <si>
    <t>Fractals-Complex Geom. Patterns Scaling Nat. Soc.</t>
  </si>
  <si>
    <t>10.1142/S0218348X01001123</t>
  </si>
  <si>
    <t>Mathematics, Interdisciplinary Applications; Multidisciplinary Sciences</t>
  </si>
  <si>
    <t>Mathematics; Science &amp; Technology - Other Topics</t>
  </si>
  <si>
    <t>514PC</t>
  </si>
  <si>
    <t>WOS:000173449400010</t>
  </si>
  <si>
    <t>Vlastélic, I; Abouchami, W; Galer, SJG; Hofmann, AW</t>
  </si>
  <si>
    <t>Geographic control on Pb isotope distribution and sources in Indian Ocean Fe-Mn deposits</t>
  </si>
  <si>
    <t>ANTHROPOGENIC LEAD ISOTOPES; CENTRAL PACIFIC SEAWATER; RARE-EARTH ELEMENTS; FERROMANGANESE CRUSTS; MANGANESE NODULES; NORTH-ATLANTIC; TRACE-ELEMENT; DEEP-WATER; SM-ND; METALLIFEROUS SEDIMENTS</t>
  </si>
  <si>
    <t>High-precision Pb isotope data have been obtained on Indian Ocean Fe-Mn deposits with a large geographic coverage. These data reveal a strong geographic control on the distribution of Pb isotopes as well as sources of Pb within this basin. The provinciality of Pb isotopes at the scale of the whole Indian Ocean, as well as that of individual basins, broadly matches the pattern of deepwater flow. The existence of several sources of Pb is best illustrated by the presence of three well-defined Pb isotopic arrays. each of which is confined to clear-cut geographic domains. These arrays imply a dominance of binary mixing of Pb sources within each of these domains. The domains consist of the North-Indian (N-Indian; north of 20 degreesS), Southwest-Indian (SW-Indian; 20 degreesS to 50 degreesS, west of 45 degreesE), South-Indian (S-Indian; 20 degreesS to 50 degreesS, east of 45 degreesE) and Antarctic-Indian (A-Indian; south of 50 degreesS), and clearly exhibit a strong control by latitude. The S-Indian domain and Mozambique Channel samples form a cluster, suggesting that there are more than just two sources contributing in these regions. We show that the N-Indian is dominated by sources of Pb derived from the High Himalayas and the Trans-Himalayan Complex, and most likely inherited from interaction at the water interface with Bengal and Indus Fan sediments. The SW-Indian and A-Indian domains share a common unradiogenic component, represented by circumpolar waters derived from the Pacific Ocean and flowing through the Drake Passage into the Atlantic and Indian Oceans. However, the radiogenic sources of Pb in these two domains are clearly distinct. In the SW-Indian, the radiogenic Pb signal reflects the tongue of North Atlantic Deep Water flowing around the tip of South Africa, while in the A-Indian, the source of radiogenic Pb is less certain, but quite probably originates in the Weddell Sea region. These data illustrate the complexity of the spatial Pb isotopic distribution. and Pb sources, within a single ocean basin at the present day, which should be borne in mind when interpreting long-term radiogenic isotope paleorecords from Fe-Mn crusts. Copyright (C) 2001 Elsevier Science Ltd.</t>
  </si>
  <si>
    <t>Max Planck Inst Chem, Abt Geochem, D-55020 Mainz, Germany</t>
  </si>
  <si>
    <t>Vlastélic, I (corresponding author), Max Planck Inst Chem, Abt Geochem, Postfach 3060, D-55020 Mainz, Germany.</t>
  </si>
  <si>
    <t>10.1016/S0016-7037(01)00713-X</t>
  </si>
  <si>
    <t>501DJ</t>
  </si>
  <si>
    <t>WOS:000172667300005</t>
  </si>
  <si>
    <t>Nakamura, T; Noguchi, T; Yada, T; Nakamuta, Y; Takaoka, N</t>
  </si>
  <si>
    <t>Bulk mineralogy of individual micrometeorites determined by X-ray diffraction analysis and transmission electron microscopy</t>
  </si>
  <si>
    <t>INTERPLANETARY DUST PARTICLES; ANTARCTIC MICROMETEORITES; CARBONACEOUS CHONDRITES; THERMAL TRANSFORMATION; AQUEOUS ALTERATION; GREENLAND; COLLECTION; METEORITES; FORSTERITE; SERPENTINE</t>
  </si>
  <si>
    <t>Bulk mineralogy of individual fine-grained micrometeorites from 50 to 200 mum in diameter was determined on the basis of the powder X-ray diffraction patterns and the observation of internal textures by a transmission electron microscope (TEM). X-ray diffraction analysis of 56 micrometeorites indicated that 42, 11, and 3 samples are olivine-rich, pyroxene-rich, and phyllosilicate-rich micrometeorites, respectively. Among the phyllosilicate-rich micrometeorites, one contains saponite and other two contain serpentine. No samples contain both saponite and serpentine. We found that saponite-rich micrometeorite was weakly heated, which results in shrinkage of 001 basal spacing of saponite down to 9.7 Angstrom, and that cronstedtite, which is commonly contained in CM chondrites, occurs in serpentine-rich micro meteorites. Micrometeorites that consist entirely of anhydrous minerals and amorphous phases are predominant in the samples studied. The major phases of such micrometeorites are olivine, low-Ca pyroxene, magnetite, and Fe-sulfide and the average abundances are 65, 17, 11, and 7 wt%, respectively, when the total abundance of the four minerals are normalized to 100 wt%, The relative mineral abundance varies greatly between samples: low-Ca pyroxene/olivine ratios range from 0 to 3.5, with a mean of 0.3. TEM observations of inner portions of some micrometeorites revealed that they a-re aggregates of very small equigranular grains (similar to 100 mn) of olivine + magnetite, or low-Ca pyroxene + olivine + magnesiowustite. The textures are very similar to those of hydrous carbonaceous chondrite that was experimentally heated to temperature below melting point. thus suggesting that the micrometeorites had been hydrous particles but were decomposed by the brief heating upon atmospheric entry. It is newly found that magnesiowustite was formed in micrometeorites instead of magnetite as a product of phyllosilicate decomposition under low oxygen fugacity. The decomposed hydrous micrometeorites gave two types of characteristic X-ray diffraction patterns: (1) broad olivine and magnetite reflections or (2) variable intensities of magnesiowustite reflections together with magnetite, low-Ca pyroxene, and olivine reflections. Twenty-nine olivine- or pyroxene-rich micrometeorites showed such diffraction patterns, thus suggesting that more than half of micrometeorites investigated must be decomposed hydrous particles. The results confirmed that hydrous dust particles are much more abundant in the interplanetary space than in the micrometeorites recovered on the Earth. Copyright (C) 2001 Elsevier Science Ltd.</t>
  </si>
  <si>
    <t>Kyushu Univ, Fac Sci, Dept Earth &amp; Planetary Sci, Fukuoka 8128581, Japan; Ibaraki Univ, Dept Mat &amp; Biol Sci, Mito, Ibaraki 3108512, Japan; Kyushu Univ, Museum, Fukuoka 8128581, Japan</t>
  </si>
  <si>
    <t>Kyushu University; Ibaraki University; Kyushu University</t>
  </si>
  <si>
    <t>Nakamura, T (corresponding author), Kyushu Univ, Fac Sci, Dept Earth &amp; Planetary Sci, Fukuoka 8128581, Japan.</t>
  </si>
  <si>
    <t>Noguchi, Takaaki/IWV-1123-2023</t>
  </si>
  <si>
    <t>Noguchi, Takaaki/0000-0001-7211-2595</t>
  </si>
  <si>
    <t>10.1016/S0016-7037(01)00722-0</t>
  </si>
  <si>
    <t>WOS:000172667300010</t>
  </si>
  <si>
    <t>Danesi, S; Morelli, A</t>
  </si>
  <si>
    <t>Structure of the upper mantle under the Antarctic Plate from surface wave tomography</t>
  </si>
  <si>
    <t>GROUP-VELOCITY; GLOBAL-MODELS; CRUSTAL</t>
  </si>
  <si>
    <t>We have analyzed surface wave data for 245 events occurring in Antarctica and surrounding oceans during,years 1991-1999. We first apply dispersion analysis to the fundamental mode of Rayleigh waves for periods ranging from 20 to 150 sec. We then invert path-averaged dispersion curves to obtain 2D maps of group velocity for different periods, represented by splines on a grid with 250 km spacing, with considerably more detail tail than that achieved by global models. We finally use group velocity maps in a nonlinear inversion for the regional 3D v(SV) structure of the upper mantle. The resulting model shows thick continental roots under East Antarctica, reaching depths below 200 km; low velocities under oceanic, ridges, mostly confined to the upper 150 kill; and a slow area under the Ross Sea volcanic centres, extending all the way down to 200 km, beyond which our data loose resolving power.</t>
  </si>
  <si>
    <t>Ist Nazl Geofis &amp; Vulcanol, I-00143 Rome, Italy</t>
  </si>
  <si>
    <t>Ist Nazl Geofis &amp; Vulcanol, Via Vigna Murata 605, I-00143 Rome, Italy.</t>
  </si>
  <si>
    <t>danesi@ingv.it; morelli@ingv.it</t>
  </si>
  <si>
    <t>Danesi, Stefania/AAA-9000-2021; morelli, andrea/F-2486-2016</t>
  </si>
  <si>
    <t>Danesi, Stefania/0000-0002-7884-8242; Morelli, Andrea/0000-0002-7400-8676</t>
  </si>
  <si>
    <t>DEC 1</t>
  </si>
  <si>
    <t>10.1029/2001GL013431</t>
  </si>
  <si>
    <t>496YJ</t>
  </si>
  <si>
    <t>WOS:000172425700014</t>
  </si>
  <si>
    <t>Januszczak, N; Eyles, N</t>
  </si>
  <si>
    <t>ODP drilling leads to a new model of shelf and slope sedimentation along the Antarctic continental margin</t>
  </si>
  <si>
    <t>GEOSCIENCE CANADA</t>
  </si>
  <si>
    <t>GeoCanada 2000 Millennium Conference</t>
  </si>
  <si>
    <t>JUN 01, 2000</t>
  </si>
  <si>
    <t>CALGARY, CANADA</t>
  </si>
  <si>
    <t>PENINSULA PACIFIC MARGIN; SEISMIC STRATIGRAPHY; DEBRIS FLOWS; RECORD; SEA; CANADA; SEQUENCES; BASIN; AREA</t>
  </si>
  <si>
    <t>Three recent Ocean Drilling Program (ODP) cruises - Leg 178, Antarctic Peninsula; Legs 119 and 188, Prydz Bay - have drilled various parts of the Antarctic continental margin in an effort to constrain the history of the Antarctic Ice Sheet. Integration of geophysical, biofacies, and sedimentological data from these ODP legs suggests that a very similar style of continental margin growth has occurred along the Antarctic continental margin. Data from the Antarctic continental margin suggest that the shelf aggrades (upbuilds) during periods of ice front retreat, whereas the slope progrades (outbuilds) during episodes of ice advance to the shelf break. Because other glaciated continental margins have glacial marine successions similar to that of the Antarctic continental margin, it may be that a common or unified model of glaciated margin deposition exists, regardless of latitude and geological age.</t>
  </si>
  <si>
    <t>Univ Toronto, Scarborough, ON M1C 1A4, Canada</t>
  </si>
  <si>
    <t>University of Toronto; University Toronto Scarborough</t>
  </si>
  <si>
    <t>Januszczak, N (corresponding author), Univ Toronto, 1265 Mil Trail, Scarborough, ON M1C 1A4, Canada.</t>
  </si>
  <si>
    <t>GEOLOGICAL ASSOC CANADA</t>
  </si>
  <si>
    <t>ST JOHNS</t>
  </si>
  <si>
    <t>DEPT EARTH SCIENCES MEMORIAL UNIV NEWFOUNDLAND, ST JOHNS, NEWFOUNDLAND A1B 3X5, CANADA</t>
  </si>
  <si>
    <t>0315-0941</t>
  </si>
  <si>
    <t>GEOSCI CAN</t>
  </si>
  <si>
    <t>Geosci. Can.</t>
  </si>
  <si>
    <t>517UR</t>
  </si>
  <si>
    <t>WOS:000173629000008</t>
  </si>
  <si>
    <t>Barnes, DKA; Crook, AC</t>
  </si>
  <si>
    <t>Implications of temporal and spatial variability in Paracentrotus lividus populations to the associated commercial coastal fishery</t>
  </si>
  <si>
    <t>echinoid fisheries; migration; population censi; Lough Hyne; Paracentrotus lividus</t>
  </si>
  <si>
    <t>SEA-URCHIN; LOUGH INE; ECOLOGY; MIGRATION</t>
  </si>
  <si>
    <t>Analysis of population structure and behaviour of a semi-enclosed and theoretically non-fished population of the echinoid Paracentrotus lividus at Lough Hyne marine nature reserve, Co. Cork, Ireland, showed distinct variability. Aspects of the behavioural variability in this species have significant consequences for the natural fishery harvest potential of this species. Whether or not, when and where individuals migrate to the upper surfaces of rocks varies on a local and regional scale as well as seasonally. The effect of this is apparent changes in (a) the population structure, (b) the population size and (c) the population centres of abundance. The population structure and size of the Lough Hyne population has changed substantially, as have those on a larger spatial scale, although the causative agents are debatable. Such changes are the result of large-scale mortality of adults and failure of cohort recruitment. Despite the undeniable pressures of overfishing at many localities, it seems likely there is a strong 'natural' and possibly predictable element to the variability in P. lividus population size and structure. For the restoration and sustainable harvest of Irish P. lividus aspects of its behavioural ecology need to be taken more closely into consideration.</t>
  </si>
  <si>
    <t>Univ Coll, Dept Zool &amp; Anim Ecol, Cork, Ireland</t>
  </si>
  <si>
    <t>Barnes, DKA (corresponding author), British Antarctic Survey, Div Biol Sci, High Cross,Madingley Rd, Cambridge CB3 0RT, England.</t>
  </si>
  <si>
    <t>1573-5117</t>
  </si>
  <si>
    <t>10.1023/A:1014568103867</t>
  </si>
  <si>
    <t>530JF</t>
  </si>
  <si>
    <t>WOS:000174354000010</t>
  </si>
  <si>
    <t>New, M; Todd, M; Hulme, M; Jones, P</t>
  </si>
  <si>
    <t>Precipitation measurements and trends in the twentieth century</t>
  </si>
  <si>
    <t>precipitation; satellites; surface gauge; twentieth century trends; variability; climate change</t>
  </si>
  <si>
    <t>PASSIVE MICROWAVE TECHNIQUE; VERTICAL STRUCTURE INFORMATION; NORTH-ATLANTIC OSCILLATION; SPACE-TIME CLIMATE; SOUTHERN-OSCILLATION; EXTRATROPICAL CIRCULATION; OCEANIC PRECIPITATION; ESTIMATING RAINFALL; OBSERVING SYSTEM; ANNULAR MODES</t>
  </si>
  <si>
    <t>Concern about anthropogenic climate change has heightened the need for accurate information about spatial and temporal variations in precipitation at the Earth's surface. Large-scale precipitation estimates can be derived from either surface gauge measurements or by satellite remote sensing, both of which have shortcomings. Gauge measurements provide information about trends and variability of monthly precipitation throughout the entire twentieth century, but because of the lack of data from most ocean regions, this information is representative of only about 25-30% of the Earth's surface. In contrast, satellite (especially multi-platform) measurements provide spatially complete coverage at monthly to subdaily resolution, but do not extend back beyond 1974. Merged gauge-satellite datasets maximize (and minimize) the relative benefits (and shortcomings) of each source type. While these merged products only extend back to 1979, their importance will grow as we move into the new century. Precipitation gauge data indicate that global land precipitation (excluding Antarctica) has increased by about 9 mm over the twentieth century (a trend of 0.89 mm/decade), which is relatively small compared with interannual and multi-decadal variability. Within this century-long trend, global precipitation exhibits considerable variability on decadal time-scales, with departures of up to +/- 40 mm from the century mean of about 950 mm. Regionally, precipitation has increased over most land areas. with the exception of tropical North Africa, and parts of southern Africa, Amazonia and western South America. The dominant mode of interannual variability in global and hemispheric land precipitation is related to the El Nino-Southern Oscillation (ENSO), which explains about 38% of the interannual variance in globally averaged land precipitation and about 8% of the space-time variability of global precipitation. In the mid- and high latitudes, the Arctic and Antarctic oscillation (AO and AAO) are the dominant modes of interannual climate variability. The AO explains 48 and 35% of area-averaged winter precipitation variability over land in the latitude bands 60-80degreesN and 40-60degreesN, respectively. The North Atlantic Oscillation is not an important modulator of global precipitation. but it does explain of annual (more in winter) variability in spatially averaged northern mid-latitude precipitation. Analyses of precipitation over land and ocean (spatially complete) since 1980 indicate that only a few regions show marked trends in precipitation over this short period. but there is a suggestion that there has been a shift in zonal precipitation. There are coherent regions where the tropical ENSO signal extends in a northeast, southeast direction into the subtropics, especially in the Pacific-Indonesian region, but also over the Atlantic-African and Indian Ocean domains. Data from a number of countries provide evidence of increased intensity of daily precipitation, generally manifested through increased frequency of wet days and an increased proportion of total precipitation occurring during the heaviest events. Over most land areas there has also been an increase in the persistence of wet spells. Copyright 0 2001 Royal Meteorological Society.</t>
  </si>
  <si>
    <t>Univ Oxford, Sch Geog &amp; Environm, Oxford OX1 3TB, England; UCL, Dept Geog, London, England; Univ E Anglia, Sch Environm Sci, Tyndall Ctr Climate Change Res, Norwich NR4 7TJ, Norfolk, England; Univ E Anglia, Sch Environm Sci, Climat Res Unit, Norwich NR4 7TJ, Norfolk, England</t>
  </si>
  <si>
    <t>University of Oxford; University of London; University College London; University of East Anglia; University of East Anglia</t>
  </si>
  <si>
    <t>Univ Oxford, Sch Geog &amp; Environm, Mansfield Rd, Oxford OX1 3TB, England.</t>
  </si>
  <si>
    <t>todd, martin/I-4143-2015; Jones, Philip Douglas/C-8718-2009; Hulme, Mike/F-9012-2010; New, Mark/A-7684-2008</t>
  </si>
  <si>
    <t>Jones, Philip Douglas/0000-0001-5032-5493; Hulme, Mike/0000-0002-1273-7662; New, Mark/0000-0001-6082-8879</t>
  </si>
  <si>
    <t>1097-0088</t>
  </si>
  <si>
    <t>10.1002/joc.680.abs</t>
  </si>
  <si>
    <t>521LR</t>
  </si>
  <si>
    <t>WOS:000173841900004</t>
  </si>
  <si>
    <t>Tuck, GN; Polacheck, T; Croxall, JP; Weimerskirch, H</t>
  </si>
  <si>
    <t>Modelling the impact of fishery by-catches on albatross populations</t>
  </si>
  <si>
    <t>Crozet Islands; longline fishing; population model; South Georgia; wandering albatross</t>
  </si>
  <si>
    <t>LONGLINE FISHING VESSELS; DIOMEDEA-EXULANS; WANDERING ALBATROSSES; SATELLITE TRACKING; SOUTH-GEORGIA; CROZET ISLANDS; SEABIRDS; PATTERNS; SURVIVAL; BEHAVIOR</t>
  </si>
  <si>
    <t>1. Several albatross species, including the wandering albatross Diomedea exulans, have shown marked declines in abundance throughout their range. These seabirds are frequently taken as by-catch in longline fisheries and this mortality has been implicated in the population declines. 2. We developed a deterministic, density-dependent, age-structured model for assessing the effects of longlining on wandering albatross populations. We used demographic data from field studies at South Georgia and the Crozet Islands, data on albatross abundance from 1960 to 1995, and reported effort data from the tuna longline fisheries south of 30 degrees S. to model estimated by-catch levels and other population parameters in the model. 3. The model used two alternative assumptions about patterns of at-sea distribution of wandering albatross (uniform between 30 degrees S-60 degrees S; proportional to the distribution of longline fishing effort between these latitudes). 4. Our model was able to predict reasonably closely the observed data from the Crozet Islands wandering albatross population, but the fit to the South Georgia population was substantially poorer. This probably reflects: (i) greater overlap in the Indian Ocean than in the Atlantic Ocean between the main areas of tuna longline fishing and the foraging ranges of wandering albatrosses from the Crozet Islands and South Georgia, respectively; and (ii) greater impact of poorly documented longline fisheries, especially the tuna fisheries in the south Atlantic and the Patagonian toothfish Dissostichus eleginoides fishery. within the foraging range of wandering albatrosses from South Georgia. 5. The model results suggest that the marked decline in both populations, and subsequent recovery of the Crozet Islands population (but not the continued decline of the South Georgia population), can be explained by the tuna longline by-catch. They further indicate that populations may be able to sustain some level of incidental take. However., the likely under-reporting of fishing effort (especially in non-tuna longline fisheries) and the delicate balance between a sustainable and unsustainable level of by-catch for these long-lived populations suggest great caution in any application of such findings.</t>
  </si>
  <si>
    <t>CSIRO, Hobart, Tas 7001, Australia; British Antarctic Survey, NERC, Cambridge CB3 0ET, England; CEBC, CNRS, F-79360 Beauvoir Sur Niort, France</t>
  </si>
  <si>
    <t>Commonwealth Scientific &amp; Industrial Research Organisation (CSIRO); UK Research &amp; Innovation (UKRI); Natural Environment Research Council (NERC); NERC British Antarctic Survey; Centre National de la Recherche Scientifique (CNRS)</t>
  </si>
  <si>
    <t>Tuck, GN (corresponding author), CSIRO, GPO 1538, Hobart, Tas 7001, Australia.</t>
  </si>
  <si>
    <t>Weimerskirch, Henri/K-7306-2019; Tuck, Geoffrey N/E-2356-2012; Fennell, Hannah/AAI-1408-2019; Weimerskirch, Henri/F-5562-2013</t>
  </si>
  <si>
    <t>10.1046/j.0021-8901.2001.00661.x</t>
  </si>
  <si>
    <t>507UR</t>
  </si>
  <si>
    <t>WOS:000173050100003</t>
  </si>
  <si>
    <t>Barbraud, C; Weimerskirch, H</t>
  </si>
  <si>
    <t>Contrasting effects of the extent of sea-ice on the breeding performance of an Antarctic top predator, the Snow Petrel Pagodroma nivea</t>
  </si>
  <si>
    <t>JOURNAL OF AVIAN BIOLOGY</t>
  </si>
  <si>
    <t>ENVIRONMENTAL-CONDITIONS; PENGUIN POPULATIONS; SOUTHERN-OCEAN; BODY CONDITION; BIRDS; SIZE; VARIABILITY; SURVIVAL; SEABIRDS; KRILL</t>
  </si>
  <si>
    <t>Recent studies have shown that the Antarctic Circumpolar Wave and the related sea-ice cover around the Antarctic continent may have a profound effect on the lower trophic levels of the marine environment. In particular, extensive sea-ice cover enhances the survival of krill. However, the effects of sea-ice cover on top predators remain poorly understood. Using time series from 1973 to 1999, we examine the influence of regional sea-ice extent on a number of indices of breeding performance of an avian predator, the Snow Petrel, in Antarctica. The percentage of breeding pairs was highly variable and there were fewer birds breeding when sea-ice cover was extensive during July. By contrast, overall breeding success and fledgling body condition were improved during years with extensive sea-ice cover during the preceding November and July-September. These results indicate that the same sea-ice conditions may have different effects on the breeding performance of a species. The overall increase in winter sea-ice extent during the last decade appears to have resulted in an overall improvement of the quality of fledglings produced, and thus probably of future recruitment.</t>
  </si>
  <si>
    <t>CNRS, Ctr Etud Biol Chize, F-79360 Villiers En Bois, France</t>
  </si>
  <si>
    <t>Barbraud, C (corresponding author), Stn Biol Tour Valat, F-13200 Arles, France.</t>
  </si>
  <si>
    <t>barbraud@tour-du-valat.com</t>
  </si>
  <si>
    <t>Weimerskirch, Henri/K-7306-2019; Weimerskirch, Henri/F-5562-2013; Barbraud, Christophe/A-5870-2012</t>
  </si>
  <si>
    <t>Weimerskirch, Henri/0000-0002-0457-586X; Barbraud, Christophe/0000-0003-0146-212X</t>
  </si>
  <si>
    <t>0908-8857</t>
  </si>
  <si>
    <t>1600-048X</t>
  </si>
  <si>
    <t>J AVIAN BIOL</t>
  </si>
  <si>
    <t>J. Avian Biol.</t>
  </si>
  <si>
    <t>10.1111/j.0908-8857.2001.320402.x</t>
  </si>
  <si>
    <t>517BT</t>
  </si>
  <si>
    <t>WOS:000173591800002</t>
  </si>
  <si>
    <t>Everest, MA; Pursell, CJ</t>
  </si>
  <si>
    <t>Isotope exchange of D2O on H2O ice:: Surface versus bulk reactivity</t>
  </si>
  <si>
    <t>CRYSTALLINE ICE; ANTARCTIC OZONE; CUBIC ICE; SUBSURFACE; PHASE</t>
  </si>
  <si>
    <t>The nature of the surface of crystalline water ice is investigated by monitoring isotope exchange in the first few bilayers. Near-monolayer amounts of D2O are deposited on thin films of H2O ice and isotope exchange at 145 K is monitored with Fourier-Transform infrared spectroscopy as a function of time. No exchange occurs on the surface of pure ice, however, exchange is readily observed on the surface of ice doped with small amounts of hydrogen chloride (HCl). The lack of exchange at the surface of pure ice stands in contrast to similar experiments performed of D2O embedded in the bulk. This suggests a depletion of mobile defects on the surface of pure crystalline ice at 145 K. This relative depletion may cause a significant difference between reactivity on the ice surface and in the ice bulk for other systems. (C) 2001 American Institute of Physics.</t>
  </si>
  <si>
    <t>Trinity Univ, Dept Chem, San Antonio, TX 78212 USA</t>
  </si>
  <si>
    <t>Trinity University</t>
  </si>
  <si>
    <t>Pursell, CJ (corresponding author), Trinity Univ, Dept Chem, San Antonio, TX 78212 USA.</t>
  </si>
  <si>
    <t>Everest, Michael/0000-0002-2504-4486</t>
  </si>
  <si>
    <t>10.1063/1.1414316</t>
  </si>
  <si>
    <t>492CN</t>
  </si>
  <si>
    <t>WOS:000172151000026</t>
  </si>
  <si>
    <t>Lund, J; Arendt, J; Hampton, SM; English, J; Morgan, LM</t>
  </si>
  <si>
    <t>Postprandial hormone and metabolic responses amongst shift workers in Antarctica</t>
  </si>
  <si>
    <t>JOURNAL OF ENDOCRINOLOGY</t>
  </si>
  <si>
    <t>FATTY-ACID CONCENTRATIONS; CORONARY-HEART-DISEASE; INSULIN-RESISTANCE; GLUCOSE-TOLERANCE; PLASMA; RHYTHM; ADAPTATION; MODULATION; SECRETION; MELATONIN</t>
  </si>
  <si>
    <t>The circadian rhythms of many night-shift workers are maladapted to their imposed behavioural schedule, and this factor may be implicated in the increased occurrence of cardiovascular disease (CVD) reported in shift workers. One way in which CVD risk could be mediated is through inappropriate hormonal and metabolic responses to meals. This study investigated the responses to standard meals at different circadian times in a group of night-shift workers on a British Antarctic Survey station at Halley Bay (75 degreesS) in Antarctica. Twelve healthy subjects (tell men and two women) were recruited. Their postprandial hormone and metabolic responses to all identical mixed test meal of 3330 kJ were measured on three occasions: (i) during daytime on a normal working day, (ii) during night-time at the beginning of a period of night-shift work, and (iii) during the daytime on return from nightworking to daytime working. Venous blood was taken for 9 h after the meal for the measurement of glucose, insulin, triacylglycerol (TAG) and non-esterified fatty acids. Urine was collected 4-hourly (longer during sleep) on each test day for assessment of the circadian phase via 6-sulphatuxymelatonin (aMT6s) assay. During normal daytime working, aMT6s acrophase was delayed (7.7 +/- 1.0 h (S.E.M.)) compared with that previously found in temperate zones in a comparable age-group. During the night shift a further delay was evident (11.8 +/- 1.9 h) and subjects' acrophases remained delayed 2 days after return to daytime working (12.4 +/- 1.8 h). Integrated postprandial glucose, insulin and TAG responses were significantly elevated during the night shift compared with normal daytime working. Two days after their return to daytime working, subjects' postprandial glucose and insulin responses had returned to pre-shift levels; however, integrated TAG levels remained significantly elevated. These results are very similar to chose previously found in simulated night-shift conditions; it is the first time such changes have been reported in real shift workers in field conditions. They provide evidence that the abnormal metabolic responses to meals taken at night during unadapted night shifts are due, at least in part, to a relative insulin resistance, which could contribute to the documented cardiovascular morbidity associated with shift work. When applied to the 20% of the UK workforce currently employed on shift work, these findings have major significance from an occupational health perspective.</t>
  </si>
  <si>
    <t>Univ Surrey, Sch Biomed &amp; Life Sci, Guildford GU2 7XH, Surrey, England; British Antarctic Survey, Cambridge CB3 0ET, England</t>
  </si>
  <si>
    <t>University of Surrey; UK Research &amp; Innovation (UKRI); Natural Environment Research Council (NERC); NERC British Antarctic Survey</t>
  </si>
  <si>
    <t>Univ Surrey, Sch Biomed &amp; Life Sci, Guildford GU2 7XH, Surrey, England.</t>
  </si>
  <si>
    <t>l.morgan@surrey.ac.uk</t>
  </si>
  <si>
    <t>BIOSCIENTIFICA LTD</t>
  </si>
  <si>
    <t>BRISTOL</t>
  </si>
  <si>
    <t>STARLING HOUSE, 1600 BRISTOL PARKWAY N, BRISTOL, ENGLAND</t>
  </si>
  <si>
    <t>0022-0795</t>
  </si>
  <si>
    <t>1479-6805</t>
  </si>
  <si>
    <t>J ENDOCRINOL</t>
  </si>
  <si>
    <t>J. Endocrinol.</t>
  </si>
  <si>
    <t>10.1677/joe.0.1710557</t>
  </si>
  <si>
    <t>Endocrinology &amp; Metabolism</t>
  </si>
  <si>
    <t>506LC</t>
  </si>
  <si>
    <t>WOS:000172973200019</t>
  </si>
  <si>
    <t>Fraser, KPP; Houlihan, DF; Lutz, PL; Leone-Kabler, S; Manuel, L; Brechin, JG</t>
  </si>
  <si>
    <t>Complete suppression of protein synthesis during anoxia with no post-anoxia protein synthesis debt in the red-eared slider turtle Trachemys scripta elegans</t>
  </si>
  <si>
    <t>RNA; metabolic downregulation; facultative anaerobe; turtle; red-eared slider; Trachemys scripta elegans</t>
  </si>
  <si>
    <t>CHANNEL ARREST; RECOVERY; BRAIN; HEPATOCYTES; DEPRESSION; STRATEGIES; TURNOVER; SURVIVAL; DEFENSE; HYPOXIA</t>
  </si>
  <si>
    <t>Two previous studies of the effects of anoxia on protein synthesis in anoxia-tolerant turtles (Trachemys scripta elegans, Chrysemys picta bellii) have generated opposing results. Using the flooding-dose method, we measured the rate of protein synthesis following injection and incorporation of a large dose of radiolabelled phenylalanine to resolve the question of whether anoxia results in a downregulation of protein synthesis. After I h of anoxia, levels of protein-incorporated radiolabel indicated that protein synthesis rates in the intestine, heart, liver, brain, muscle and lungs were not significantly different from those of normoxic controls. However, from 1 to 6h of anoxia, quantities of protein-incorporated radiolabel did not increase, suggesting that protein synthesis had ceased or had decreased below a measurable level. There was also no significant post-anoxia increase in protein synthesis rates above normoxic control levels during 3h of recovery from anoxia. RNA-to-protein ratios did not change significantly in any tissue except the heart, in which RNA levels decreased below normoxic control levels after 6h of anoxia. Except in the heart, downregulation of protein synthesis during anoxia does not appear to be mediated by changes in tissue RNA concentration.</t>
  </si>
  <si>
    <t>Florida Atlantic Univ, Dept Biol Sci, Boca Raton, FL 33141 USA; Univ Aberdeen, Dept Zool, Aberdeen AB24 3TZ, Scotland</t>
  </si>
  <si>
    <t>State University System of Florida; Florida Atlantic University; University of Aberdeen</t>
  </si>
  <si>
    <t>Fraser, KPP (corresponding author), British Antarctic Survey, Div Biol Sci, High Cross,Madingley Rd, Cambridge CB3 0ET, England.</t>
  </si>
  <si>
    <t>510XA</t>
  </si>
  <si>
    <t>WOS:000173231500017</t>
  </si>
  <si>
    <t>Casaux, R; Favero, M; Silva, P; Baroni, A</t>
  </si>
  <si>
    <t>Sex differences in diving depths and diet of Antarctic Shags at the South Shetland Islands</t>
  </si>
  <si>
    <t>JOURNAL OF FIELD ORNITHOLOGY</t>
  </si>
  <si>
    <t>BLUE-EYED SHAG; PHALACROCORAX-ATRICEPS-BRANSFIELDENSIS; NELSON ISLAND; BIRD-ISLAND; PERFORMANCE; CORMORANTS; PATTERNS; BEHAVIOR</t>
  </si>
  <si>
    <t>Sexual differences in maximum diving depths and in the composition of the diet of the Antarctic Shag (Phalacrocorax bransfieldensis) were investigated at Harmony Point, Nelson Island, South Shetland Islands, Antarctica, during the 1995-1996 and 1996-1997 breeding seasons. The mean maximum diving depth estimated by the capillary-tube depth gauge technique was 37.8 m which, when compared with other studies, reflects good food availability in shallow waters around Harmony Point. Females dived significantly deeper than males and also reached the maximum dive depth registered (112.6 m). The analysis of the stomach contents recovered when the individuals with capillary-tubes returned to the nest from foraging trips indicated that males ingested almost exclusively large Notothenia coriiceps specimens, whereas females preyed more intensively on smaller fish. The differences observed suggest that individuals of both sexes partitioned foraging depths and food resources.</t>
  </si>
  <si>
    <t>Inst Antartico Argentino, RA-1010 Buenos Aires, DF, Argentina; Univ Nacl Mar del Plata, Fac Ciencias Exactas &amp; Nat, Dept Biol, RA-7600 Mar Del Plata, Argentina; Univ Nacl Mar del Plata, Fac Ciencias Exactas &amp; Nat, CIC, Dept Ciencias Marinas, RA-7600 Mar Del Plata, Argentina; Univ Buenos Aires, Fac Farm &amp; Bioquim, RA-1113 Buenos Aires, DF, Argentina</t>
  </si>
  <si>
    <t>Instituto Antartico Argentino; National University of Mar del Plata; National University of Mar del Plata; University of Buenos Aires</t>
  </si>
  <si>
    <t>Inst Antartico Argentino, Cerrito 1248, RA-1010 Buenos Aires, DF, Argentina.</t>
  </si>
  <si>
    <t>Favero, Marco/AGF-7428-2022</t>
  </si>
  <si>
    <t>Favero, Marco/0000-0003-1293-3417</t>
  </si>
  <si>
    <t>0273-8570</t>
  </si>
  <si>
    <t>1557-9263</t>
  </si>
  <si>
    <t>J FIELD ORNITHOL</t>
  </si>
  <si>
    <t>J. Field Ornithol.</t>
  </si>
  <si>
    <t>10.1648/0273-8570-72.1.22</t>
  </si>
  <si>
    <t>403ZD</t>
  </si>
  <si>
    <t>WOS:000167072200003</t>
  </si>
  <si>
    <t>Partamies, N; Freeman, MP; Kauristie, K</t>
  </si>
  <si>
    <t>On the winding of auroral spirals: Interhemispheric observations and Hallinan's theory revisited</t>
  </si>
  <si>
    <t>SHEAR-FLOW; FIELD; ARCS; DISTORTIONS; RESONANCES</t>
  </si>
  <si>
    <t>Auroral spirals are the largest vortex structures that appear in auroral arcs. Their diameters vary from tens to hundreds of kilometers. We have collected an all-sky camera data set of 216 events including 189 northern and 27 southern hemispheric spirals. For the first time in the literature, this study shows spiral structures from both hemispheres with similar occurrence distributions for their scale sizes and a sense of rotation that is always counterclockwise when viewed along the geomagnetic field. In a few cases the time resolution was adequate to follow the winding process and the relative brightness of the spirals. These events show that the winding motion of the auroral structure is opposite to the anticipated plasma flow in the same region, and that the winding process is controlled by the intensity of the auroral precipitation. We show that these findings axe consistent with the model of Hallinan [1976]. He suggested that spirals are related to periodic undulations developing in an upward field-aligned current (FAC) sheet. In this model, the winding of the auroral structure manifests the magnetic field line twisting in a direction different from the ionospheric plasma flow. We discuss Hallinan's theory in more detail: First, we derive the complete solutions of the magnetic field perturbation. Second, we compute the structure of the FAC sheet and show that it reproduces the shape and sense of rotation of auroral spirals. Third, we consider the factors that affect the amount of spiral winding. In particular, we show that the spiral winding is controlled by the strength of the FAC perturbation in the arc and thereby is related to auroral precipitation and are brightness observed. We also find the relationship between the finite field-aligned distance required for spirals to fully evolve and the amplitude of the FAC perturbation and discuss how this relationship could be used to identify the source region for the FAC perturbation. However, the assumption of a constant background field in the model hampers detailed comparisons with observed FACs and spatial scale sizes. Further development of the model is needed before we can conclude, for example, if at the altitude of the acceleration region, the conditions would be favorable for the spiral winding mechanism.</t>
  </si>
  <si>
    <t>Finnish Meteorol Inst, Geophy Res, FIN-00101 Helsinki, Finland; Univ Helsinki, Dept Phys, Helsinki, Finland; British Antarctic Survey, Cambridge CB3 0ET, England</t>
  </si>
  <si>
    <t>Finnish Meteorological Institute; University of Helsinki; UK Research &amp; Innovation (UKRI); Natural Environment Research Council (NERC); NERC British Antarctic Survey</t>
  </si>
  <si>
    <t>Finnish Meteorol Inst, Geophy Res, POB 503, FIN-00101 Helsinki, Finland.</t>
  </si>
  <si>
    <t>noora.partamies@fmi.fi; MPF@pcmail.nercbas.ac.uk; kirsti.kauristie@fmi.fi</t>
  </si>
  <si>
    <t>Partamies, Noora/G-3408-2014; Freeman, Mervyn/E-5687-2019</t>
  </si>
  <si>
    <t>Freeman, Mervyn/0000-0002-8653-8279</t>
  </si>
  <si>
    <t>A12</t>
  </si>
  <si>
    <t>10.1029/2001JA900093</t>
  </si>
  <si>
    <t>519LV</t>
  </si>
  <si>
    <t>WOS:000173728500010</t>
  </si>
  <si>
    <t>Coleman, IJ; Chisham, G; Pinnock, M; Freeman, MP</t>
  </si>
  <si>
    <t>An ionospheric convection signature of antiparallel reconnection</t>
  </si>
  <si>
    <t>INTERPLANETARY MAGNETIC-FIELD; FLUX-TRANSFER EVENTS; DAYSIDE MAGNETOPAUSE; MAGNETOSHEATH PLASMA; LOW ALTITUDE; LATITUDE; MAGNETOSPHERE; MODEL; CUSP; PATTERNS</t>
  </si>
  <si>
    <t>This paper sets out a critical test of the antiparallel merging hypothesis. For the conflicting theories of antiparallel and subsolar reconnection, we model the location of reconnection regions on the dayside magnetopause, their ionospheric footprints, and the resulting ionospheric convection patterns. We show that antiparallel reconnection, under particular seasonal and solar wind conditions, gives rise to a distinctive ionospheric convection signature. Specifically, around midwinter with a quasi-steady solar wind and IMF B-x &lt; 0 and \B-y\ similar to \B-z\, we predict equatorward flow in the noon sector with poleward flow either side of noon if the antiparallel merging hypothesis is correct. In contrast, we predict poleward flow in the noon sector in midwinter under these solar wind conditions if the subsolar reconnection hypothesis is correct and in other seasons under both hypotheses. We go on to present radar and spacecraft data for an interval which satisfies the above seasonal and solar wind criteria, demonstrating that the convection signature of antiparallel merging is present. This is not consistent with the subsolar merging hypothesis.</t>
  </si>
  <si>
    <t>ijc@bas.ac.uk</t>
  </si>
  <si>
    <t>Freeman, Mervyn/E-5687-2019</t>
  </si>
  <si>
    <t>10.1029/2001JA900084</t>
  </si>
  <si>
    <t>WOS:000173728500015</t>
  </si>
  <si>
    <t>Blagoveshchenskaya, NF; Kornienko, VA; Borisova, TD; Thidé, B; Kosch, MJ; Rietveld, MT; Mishin, EV; Luk'yanova, RY; Troshichev, OA</t>
  </si>
  <si>
    <t>Ionospheric HF pump wave triggering of local auroral activation</t>
  </si>
  <si>
    <t>STIMULATED ELECTROMAGNETIC EMISSION; HIGH-LATITUDE IONOSPHERE; E-REGION IRREGULARITIES; MAGNETOSPHERIC SUBSTORMS; ALFVEN WAVES; RADIO-WAVES; SOLAR-WIND; EXCITATION; TROMSO; ARC</t>
  </si>
  <si>
    <t>Experimental results from ionospheric HF pumping experiments in the nightside auroral E region above Tromso are reported. We found intriguing evidence that a modification of the ionosphere-magnetosphere coupling, due to the effects of powerful HF waves beamed into an auroral sporadic E layer, can lead to a local intensification of the auroral activity. Summarizing multi-instrument observations during two consecutive nights, one can distinguish the following peculiarities related to this auroral activation: a modification of the auroral arc and its breakup above Tromso, local changes in the horizontal currents above Tromso, a burst-like increase of the electron density and temperature, a large increase in the ion temperature in a wide altitude range and in the north-south component of the electric field, distinctive features in dynamic HF radio scatter Doppler spectra, pump-induced electron precipitation, and substorm activation exactly above Tromso. We discuss the modification of the ionosphere-magnetosphere coupling in terms of the excitation of a turbulent Alfven boundary layer between the base of the ionosphere (similar to100 km) and the level of sharp increase of the Alfven velocity (at heights up to one Earth radius), and the formation of a local magnetospheric current system. The results suggest that a possible triggering of local auroral activation requires specific geophysical conditions.</t>
  </si>
  <si>
    <t>Arctic &amp; Antarctic Res Inst, St Petersburg 199397, Russia; Swedish Inst Space Phys, Uppsala Div, SE-75121 Uppsala, Sweden; Max Planck Inst Aeron, D-37191 Katlenburg Lindau, Germany; MIT, Haystack Observ, Westford, MA 01886 USA</t>
  </si>
  <si>
    <t>Arctic &amp; Antarctic Research Institute; Max Planck Society; Massachusetts Institute of Technology (MIT)</t>
  </si>
  <si>
    <t>Arctic &amp; Antarctic Res Inst, 38 Bering St, St Petersburg 199397, Russia.</t>
  </si>
  <si>
    <t>nately@aari.nw.ru; vikkorn@aari.nw.ru; olegtro@aari.nw.ru; bt@irfu.se; kosch@linmpi.mpg.de; rietveld@linmpi.mpg.de; evm@haystack.mit.edu</t>
  </si>
  <si>
    <t>Blagoveshchenskaya, Nataly F./S-4342-2017; Blagoveshchenskaya, Nataly/AAE-4093-2022; Thide, Bo/B-7734-2009; Lukianova, Renata/K-3293-2012; Borisova, Tatiana/AAK-7698-2020</t>
  </si>
  <si>
    <t>Blagoveshchenskaya, Nataly F./0000-0003-1752-3273; Blagoveshchenskaya, Nataly/0000-0003-1752-3273; Lukianova, Renata/0000-0003-2343-9174; Borisova, Tatiana/0000-0003-1727-5310; Kosch, Michael Jurgen/0000-0003-2846-3915; Thide, Bo/0000-0001-7086-8049; MISHIN, EVGENY/0000-0002-3183-0600</t>
  </si>
  <si>
    <t>10.1029/2001JA900002</t>
  </si>
  <si>
    <t>WOS:000173728500020</t>
  </si>
  <si>
    <t>Clilverd, MA; Rodger, CJ; Thomson, NR; Yearby, KH</t>
  </si>
  <si>
    <t>Investigating the possible association between thunderclouds and plasmaspheric ducts</t>
  </si>
  <si>
    <t>WHISTLER-MODE SIGNALS; FIELD-ALIGNED IRREGULARITIES; ELECTRIC-FIELDS; VLF TRANSMITTERS; GROUP DELAYS; MAGNETOSPHERE; PROPAGATION; ABSORPTION; IONOSPHERE; LATITUDES</t>
  </si>
  <si>
    <t>It has been suggested that quasi-electrostatic electric fields from thunderclouds might produce whistler ducts by driving plasma interchange of geomagnetic flux tubes. Using lightning activity as a proxy for the presence of electrified clouds, the relation between thunderclouds and duct number was investigated through the study of two periods of 10 days, that is from June 13-22, 1993, and August 6-15, 1993. Typical duct numbers observed using NAA transmissions (24.0 kHz, Cutler, Maine) received at Faraday during the nights of June and August 1993 were 7, while the maximum duct numbers were 9-12. Duct numbers dropped down to zero or near zero during the day. Times of increased duct number could not be clearly associated with increased thunderstorm activity in the duct, footprint region. Duct numbers observed on the path from NLK (24.8 kHz, Seattle, Washington) to Dunedin, New Zealand, were also studied, where very low thunderstorm activity levels imply that thundercloud-driven duct formation should not be significant. The typical nighttime peak was similar to5 at about 1000 UT (23 LT). The difference between duct numbers in areas with high thunderstorm activity and quiet areas might be thought to be due to thundercloud duct formation. However, the F region absorption on the NLK footprints at 1000UT (23 LT) in June was found to be equivalent to 0000 UT (20 LT) in June on the NAA duct footprints. The typical number of ducts observable on the NAA path at 0000 UT in June is approximate to 5, very similar to the number observed on NLK at 0930 UT. The results found in this study are consistent with the idea that ionospheric absorption is a significant influence on the number of ducts observed. It does not appear that quasi-electronstatic fields from thunderclouds play a significant role in the formation of plasmaspheric whistler ducts. The similarity in quiet time midlatitude duct nuumbers at these two different locations suggest a globally consistent duct formation mechanism, such as the interchange of magnetospheric tubes of plasma induced by spatially varying electric fields in the E region.</t>
  </si>
  <si>
    <t>British Antarctic Survey, Div Phys Sci, Cambridge CB3 0ET, England; Low Frequency Electromagnet Radiat Res Ltd, Dunedin, New Zealand; Univ Otago, Dept Phys, Dunedin, New Zealand; Univ Sheffield, Dept Automat Control &amp; Syst Engn, Sheffield S10 2TN, S Yorkshire, England</t>
  </si>
  <si>
    <t>UK Research &amp; Innovation (UKRI); Natural Environment Research Council (NERC); NERC British Antarctic Survey; University of Otago; University of Sheffield</t>
  </si>
  <si>
    <t>British Antarctic Survey, Div Phys Sci, Madingley Rd, Cambridge CB3 0ET, England.</t>
  </si>
  <si>
    <t>m.clilverd@bas.ac.uk; crodger@physics.otago.ac.nz; thompson@physics.otago.ac.nz; k.yearby@sheffield.ac.uk</t>
  </si>
  <si>
    <t>Rodger, Craig/A-1501-2011</t>
  </si>
  <si>
    <t>Rodger, Craig J./0000-0002-6770-2707</t>
  </si>
  <si>
    <t>10.1029/2001JA000081</t>
  </si>
  <si>
    <t>WOS:000173728500076</t>
  </si>
  <si>
    <t>Abel, GA; Coates, AJ; Rymer, AM; Linder, DR; Thomsen, MF; Young, DT; Dougherty, MK</t>
  </si>
  <si>
    <t>Cassini Plasma Spectrometer observations of bidirectional lobe electrons during the Earth flyby, August 18, 1999</t>
  </si>
  <si>
    <t>POLAR RAIN; DISTANT TAIL; SOLAR-WIND; MAGNETOSPHERE</t>
  </si>
  <si>
    <t>Unlike previous missions to the magnetotail (IMP 6, ISEE 1, ISEE 3, and Geotail), which effectively made observations in the lobe at a single downtail distance, the Cassini Earth swingby allowed, for the first time, near-continuous observations covering a range of downtail distances. Bidirectional electrons are found in the northern lobe, consistent with previous studies. Enhancements in the electron fluxes are seen in a boundary layer between the lobe and sheath. These enhancements are accompanied by enhancements in ion fluxes traveling tailward. We also present what we believe to be the first observations of a returning electron population in the magnetosheath. Bidirectional electrons are observed upto 0.02 keV, while at higher energies only unidirectional electrons are observed. The low energy of the returning electrons arises as a. result of the electron populations' passage through the magnetopause twice and losses due to precipitation.</t>
  </si>
  <si>
    <t>UCL, Mullard Space Sci Lab, Dorking RH5 6NT, Surrey, England; Los Alamos Natl Lab, Los Alamos, NM 87545 USA; Univ Michigan, Dept Atmospher Ocean &amp; Space Sci, Ann Arbor, MI 48109 USA; Univ London Imperial Coll Sci Technol &amp; Med, Blackett Lab, London SW7 2BZ, England</t>
  </si>
  <si>
    <t>University of London; University College London; United States Department of Energy (DOE); Los Alamos National Laboratory; University of Michigan System; University of Michigan; Imperial College London</t>
  </si>
  <si>
    <t>gaab@bas.ac.uk; ajc@mssl.ucl.ac.uk; amr@mssl.ucl.ac.uk; drl@mssl.ucl.ac.uk; mthomsen@lanl.gov; dtyoung@umich.edu; m.dougherty@ic.ac.uk</t>
  </si>
  <si>
    <t>Coates, Andrew/C-2396-2008; Young, David Reid/HKN-5543-2023; Abel, Gary/ABE-1765-2021; Young, David J/C-2045-2009</t>
  </si>
  <si>
    <t>Coates, Andrew/0000-0002-6185-3125; Abel, Gary/0000-0003-2231-5161;</t>
  </si>
  <si>
    <t>10.1029/2001JA900076</t>
  </si>
  <si>
    <t>WOS:000173728500112</t>
  </si>
  <si>
    <t>Barbini, R; Colao, F; Fantoni, R; Fiorani, L; Palucci, A</t>
  </si>
  <si>
    <t>Remote sensing of the southern ocean: Techniques and results</t>
  </si>
  <si>
    <t>JOURNAL OF OPTOELECTRONICS AND ADVANCED MATERIALS</t>
  </si>
  <si>
    <t>remote sensing; lidar fluorosensor; satellite radiometer; oceanography; Antarctica</t>
  </si>
  <si>
    <t>ROSS SEA; SEAWIFS; PHYTOPLANKTON; FLUORESCENCE; SATELLITE; RADIANCE</t>
  </si>
  <si>
    <t>A lidar fluorosensor was developed in the framework of the Italian Antarctic Research Program. This system and some ancillary instruments were installed in the research vessel Italica during three oceanographic campaigns in the Southern Ocean and collected data on biochemical parameters of the seawaters crossed. In particular, thematic maps of chlorophyll-a and chromophoric dissolved organic matter have been released, thus providing information on phytoplankton dynamics. Moreover, the chlorophyll-a measurements have been used for calibrating the satellite imagery.</t>
  </si>
  <si>
    <t>ENEA, I-00044 Frascati, Italy</t>
  </si>
  <si>
    <t>Barbini, R (corresponding author), ENEA, Via Fermi 45, I-00044 Frascati, Italy.</t>
  </si>
  <si>
    <t>Fiorani, Luca/AAT-8943-2021</t>
  </si>
  <si>
    <t>PALUCCI, ANTONIO/0009-0006-9442-1544; Fiorani, Luca/0000-0001-9696-3124</t>
  </si>
  <si>
    <t>NATL INST OPTOELECTRONICS</t>
  </si>
  <si>
    <t>BUCHAREST-MAGURELE</t>
  </si>
  <si>
    <t>1 ATOMISTILOR ST, PO BOX MG-5, BUCHAREST-MAGURELE 76900, ROMANIA</t>
  </si>
  <si>
    <t>1454-4164</t>
  </si>
  <si>
    <t>J OPTOELECTRON ADV M</t>
  </si>
  <si>
    <t>J. Optoelectron. Adv. Mater.</t>
  </si>
  <si>
    <t>Materials Science, Multidisciplinary; Optics; Physics, Applied</t>
  </si>
  <si>
    <t>Materials Science; Optics; Physics</t>
  </si>
  <si>
    <t>503UM</t>
  </si>
  <si>
    <t>WOS:000172819600002</t>
  </si>
  <si>
    <t>St Laurent, LC; Toole, JM; Schmitt, RW</t>
  </si>
  <si>
    <t>Buoyancy forcing by turbulence above rough topography in the abyssal Brazil Basin</t>
  </si>
  <si>
    <t>ANTARCTIC BOTTOM WATER; POTENTIAL VORTICITY; DEEP CIRCULATION; STRATIFIED FLUID; NORTH-ATLANTIC; OCEAN; FLOW; TRANSPORT</t>
  </si>
  <si>
    <t>Observations of turbulent dissipation above rough bathymetry in the abyssal Brazil Basin are presented. Relative to regions with smooth bathymetry, dissipation is markedly enhanced above rough topography of the Mid-Atlantic Ridge with levels above bathymetric slopes exceeding levels observed over crests and canyon floors. Furthermore, mixing levels in rough areas are modulated by the spring-neap tidal cycle. Internal waves generated by barotropic tidal flow over topography are the likely mechanism for supplying the energy needed to support the observed turbulent dissipation. A model of the spatial and temporal patterns in the turbulent dissipation rate is used to constrain the diapycnal advection in an inverse calculation for the circulation in an area of rough bathymetry. This inverse model uses both beta-spiral and integrated forms of the advective budgets for heat, mass, and vorticity, and contains sufficient information to resolve the full three-dimensional flow. The inverse model solution reveals the presence of a bouyancy forced circulation driven by mixing in abyssal canyons. On isopycnals above the level of fracture-zone crests near the Mid-Atlantic Ridge the flow is westward and fluid is downwelled toward greater density. Along deeper isopycnals, fluid is carried eastward and upwelled in canyons. The divergence of diapycnal mass flux is a significant forcing mechanism for this circulation. These results suggest that mixing in abyssal canyons plays. an important role in the circulation of abyssal waters.</t>
  </si>
  <si>
    <t>St Laurent, LC (corresponding author), Univ Victoria, Sch Earth &amp; Ocean Sci, Victoria, BC V8W 3P6, Canada.</t>
  </si>
  <si>
    <t>Schmitt, Raymond W/B-7451-2011</t>
  </si>
  <si>
    <t>Toole, John/0000-0003-2905-0637</t>
  </si>
  <si>
    <t>10.1175/1520-0485(2001)031&lt;3476:BFBTAR&gt;2.0.CO;2</t>
  </si>
  <si>
    <t>505FT</t>
  </si>
  <si>
    <t>WOS:000172903300007</t>
  </si>
  <si>
    <t>Serret, P; Fernández, E; Anadón, R; Varela, M</t>
  </si>
  <si>
    <t>Trophic control of biogenic carbon export in Bransfield and Gerlache Straits, Antarctica</t>
  </si>
  <si>
    <t>JOURNAL OF PLANKTON RESEARCH</t>
  </si>
  <si>
    <t>NET COMMUNITY PRODUCTION; FOOD-WEB; NORTHEAST ATLANTIC; ORGANIC-CARBON; WEDDELL SEA; PHYTOPLANKTON; OCEAN; RESPIRATION; FLUX; SEDIMENTATION</t>
  </si>
  <si>
    <t>Size-fractionated chlorophyll a and photosynthetic carbon incorporation, microbial oxygen production and respiration and particulate vertical flux were measured in January 1996 at three regions, characterized by distinct hydrographic fields and planktonic communities, of the Antarctic Peninsula: (1) a diatom-Phaeocystis sp., dominated community associated with the relatively stratified waters of the Gerlache Strait, (2) a nanoplankton-Cryptomonas sp. dominated assemblage at the Gerlache-Bransfield confluence; and (3) a nano- and picoplankton community in mixed waters of the Bransfield Strait. Despite the marked differences in both community structure and total phytoplankton biomass and primary production, and against predictions from models about trophic control of C export, the lowest respiration rates were measured at Bransfield (pico- and nanoplankton), and no difference was observed between the Gerlache (large diatoms) and Bransfield stations in relative vertical particle flux (6.4 vs. 5.1 % of suspended C; 14.9 vs. 10.4 % of net community production, respectively). Growth and loss rates of the phytoplankton population studied for each community indicate that microbial populations can be explained by in situ growth, but spatial (diatom-Phaeocystis sp., bloom) and temporal (diatom-Phaeocystis sp. bloom and nanoplankton communities) scales of study were shown to be insufficient for addressing the coupling between primary production and biogenic carbon export, especially after the appreciation of the accumulation of dissolved organic carbon in the water column. This would explain the unexpected results and highlights the necessity of including the mechanisms controlling accumulation and consumption of dissolved organic matter into conceptual models about the trophic control of C export.</t>
  </si>
  <si>
    <t>Univ Vigo, Dept Ecol &amp; Biol Anim, Fac Ciencias, E-36200 Vigo, Spain; Univ Oviedo, Dept Biol Organismos &amp; Sistemas, E-33071 Oviedo, Spain; Inst Espanol Oceanog, E-15080 La Coruna, Spain</t>
  </si>
  <si>
    <t>Universidade de Vigo; University of Oviedo; Spanish Institute of Oceanography</t>
  </si>
  <si>
    <t>Serret, P (corresponding author), Univ Vigo, Dept Ecol &amp; Biol Anim, Fac Ciencias, Campus Lagoas Marcosende, E-36200 Vigo, Spain.</t>
  </si>
  <si>
    <t>pserret@uvigo.es</t>
  </si>
  <si>
    <t>Serret, Pablo/ABH-3186-2020; Fernandez, Emilio/D-2453-2009</t>
  </si>
  <si>
    <t>Serret, Pablo/0000-0001-6087-6272; Fernandez, Emilio/0000-0001-7985-0814</t>
  </si>
  <si>
    <t>0142-7873</t>
  </si>
  <si>
    <t>1464-3774</t>
  </si>
  <si>
    <t>J PLANKTON RES</t>
  </si>
  <si>
    <t>J. Plankton Res.</t>
  </si>
  <si>
    <t>10.1093/plankt/23.12.1345</t>
  </si>
  <si>
    <t>504TZ</t>
  </si>
  <si>
    <t>WOS:000172873100004</t>
  </si>
  <si>
    <t>Lachlan-Cope, T; Smellie, JL; Ladkin, R</t>
  </si>
  <si>
    <t>Discovery of a recurrent lava lake on Saunders Island (South Sandwich Islands) using AVHRR imagery</t>
  </si>
  <si>
    <t>JOURNAL OF VOLCANOLOGY AND GEOTHERMAL RESEARCH</t>
  </si>
  <si>
    <t>lava lake; AVHRR; monitoring; South Sandwich Islands</t>
  </si>
  <si>
    <t>VOLCANO; ARC</t>
  </si>
  <si>
    <t>Monitoring of the remote South Sandwich Islands volcanic are, using advanced very high resolution radiometer (AVHRR) data, has identified a radiant pixel on channels 3 (3.55-3.93 mum) and (rarely) 4 (10.3-1113 mum). The :position of the pixel is coincident with Mount Michael, Saunders Island, the active summit crater of a snow-covered basaltic stratovolcano with a persistent steam plume. The radiant pixel was continuously present in successive AVHRR images acquired during intervals of several months in the period examined (March 1995-February 1999), although apparently disappearing for similar time intervals. More than 5000 images were examined during this study. The radiant pixel is interpreted to indicate that the crater has contained a lava lake, the first to be recorded in the South Sandwich Islands. The lake appears to persist in the crater for several months at a time, at least. It may have drained completely at times and was probably absent when the crater was viewed briefly during an overflight in January 1997. Persistent or recurring lava lakes are very uncommon world-wide and that at Mount Michael is one of only two recorded in the Antarctic region. (C) 2001 Elsevier Science B.V. All rights reserved..</t>
  </si>
  <si>
    <t>Smellie, JL (corresponding author), British Antarctic Survey, NERC, Madingley Rd,High Cross, Cambridge CB3 0ET, England.</t>
  </si>
  <si>
    <t>0377-0273</t>
  </si>
  <si>
    <t>J VOLCANOL GEOTH RES</t>
  </si>
  <si>
    <t>J. Volcanol. Geotherm. Res.</t>
  </si>
  <si>
    <t>10.1016/S0377-0273(01)00237-2</t>
  </si>
  <si>
    <t>512MD</t>
  </si>
  <si>
    <t>WOS:000173327400008</t>
  </si>
  <si>
    <t>Galloway, WE</t>
  </si>
  <si>
    <t>Cenozoic evolution of sediment accumulation in deltaic and shore-zone depositional systems, Northern Gulf of Mexico Basin</t>
  </si>
  <si>
    <t>Gulf of Mexico; coastal environment; nearshore sedimentation; Cenozoic</t>
  </si>
  <si>
    <t>SEA-LEVEL; COASTAL-PLAIN; SEQUENCES</t>
  </si>
  <si>
    <t>Paleogeographic and volumetric lithofacies mapping of 18 Cenozoic genetic sequences within the Northern Gulf of Mexico Basin quantifies the proportional sequestering of sediment within wave-dominated shore-zone vs. deltaic systems through time. Three long-term depositional phases are revealed by plots, based on paleogeographic and sediment isochore maps, of total shore-zone system area and volume to total delta system area and volume (SZ/D), (1) SZ/D area and volume ratios are highly variable in Paleocene through Eocene sequences. However, typical volume ratios for major genetic sequences (Upper, Middle, and Lower Wilcox Queen City (QC), and Yegua) range between 0.2 and 0.6. Minor sequences (Sparta (SP), Jackson (JS)), which record very low rates and volumes of sediment accumulation, have the greatest variability in their ratios, (2) Oligocene and Miocene sequences display consistently high proportions of shore-zone sediment. SZ/D area ratios range from 0.6 to 1.0, and volume ratios cluster between 0.4 and 0.8. (3) A substantial late Neogene decrease in SZ/D ratios is presaged in the late Miocene sequence. Pliocene and Pleistocene sequences are uniformly characterized by very low ratios of &lt;0.2. Consistently high Oligocene-Miocene ratios reflect a post-Eocene period of strong E-W climate gradient across the Northern Gulf margin. Shore-zone volume displays no correlation to overall rate of sediment supply. The late Neogene decrease in proportional shore-zone system importance corresponds to development of the West Antarctic and Northern Hemisphere ice sheets and related increase in amplitude and frequency of glacioeustatic sea level cycling. (C) 2002 Elsevier Science Ltd. All rights reserved.</t>
  </si>
  <si>
    <t>Univ Texas, Inst Geophys, Austin, TX 78759 USA</t>
  </si>
  <si>
    <t>University of Texas System; University of Texas Austin</t>
  </si>
  <si>
    <t>Galloway, WE (corresponding author), Univ Texas, Inst Geophys, 8701 Mopac Blvd, Austin, TX 78759 USA.</t>
  </si>
  <si>
    <t>Galloway, William E./A-1824-2009</t>
  </si>
  <si>
    <t>10.1016/S0264-8172(01)00045-9</t>
  </si>
  <si>
    <t>516AL</t>
  </si>
  <si>
    <t>WOS:000173529100001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</si>
</sst>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73</v>
      </c>
      <c r="G2" t="s">
        <v>74</v>
      </c>
      <c r="H2" t="s">
        <v>74</v>
      </c>
      <c r="I2" t="s">
        <v>75</v>
      </c>
      <c r="J2" t="s">
        <v>76</v>
      </c>
      <c r="K2" t="s">
        <v>74</v>
      </c>
      <c r="L2" t="s">
        <v>74</v>
      </c>
      <c r="M2" t="s">
        <v>77</v>
      </c>
      <c r="N2" t="s">
        <v>78</v>
      </c>
      <c r="O2" t="s">
        <v>79</v>
      </c>
      <c r="P2" t="s">
        <v>80</v>
      </c>
      <c r="Q2" t="s">
        <v>81</v>
      </c>
      <c r="R2" t="s">
        <v>74</v>
      </c>
      <c r="S2" t="s">
        <v>82</v>
      </c>
      <c r="T2" t="s">
        <v>83</v>
      </c>
      <c r="U2" t="s">
        <v>84</v>
      </c>
      <c r="V2" t="s">
        <v>85</v>
      </c>
      <c r="W2" t="s">
        <v>86</v>
      </c>
      <c r="X2" t="s">
        <v>87</v>
      </c>
      <c r="Y2" t="s">
        <v>88</v>
      </c>
      <c r="Z2" t="s">
        <v>89</v>
      </c>
      <c r="AA2" t="s">
        <v>74</v>
      </c>
      <c r="AB2" t="s">
        <v>74</v>
      </c>
      <c r="AC2" t="s">
        <v>74</v>
      </c>
      <c r="AD2" t="s">
        <v>74</v>
      </c>
      <c r="AE2" t="s">
        <v>74</v>
      </c>
      <c r="AF2" t="s">
        <v>74</v>
      </c>
      <c r="AG2">
        <v>84</v>
      </c>
      <c r="AH2">
        <v>87</v>
      </c>
      <c r="AI2">
        <v>93</v>
      </c>
      <c r="AJ2">
        <v>1</v>
      </c>
      <c r="AK2">
        <v>17</v>
      </c>
      <c r="AL2" t="s">
        <v>90</v>
      </c>
      <c r="AM2" t="s">
        <v>91</v>
      </c>
      <c r="AN2" t="s">
        <v>92</v>
      </c>
      <c r="AO2" t="s">
        <v>93</v>
      </c>
      <c r="AP2" t="s">
        <v>94</v>
      </c>
      <c r="AQ2" t="s">
        <v>74</v>
      </c>
      <c r="AR2" t="s">
        <v>95</v>
      </c>
      <c r="AS2" t="s">
        <v>96</v>
      </c>
      <c r="AT2" t="s">
        <v>97</v>
      </c>
      <c r="AU2">
        <v>2002</v>
      </c>
      <c r="AV2">
        <v>182</v>
      </c>
      <c r="AW2" t="s">
        <v>98</v>
      </c>
      <c r="AX2" t="s">
        <v>74</v>
      </c>
      <c r="AY2" t="s">
        <v>74</v>
      </c>
      <c r="AZ2" t="s">
        <v>99</v>
      </c>
      <c r="BA2" t="s">
        <v>74</v>
      </c>
      <c r="BB2">
        <v>31</v>
      </c>
      <c r="BC2">
        <v>45</v>
      </c>
      <c r="BD2" t="s">
        <v>100</v>
      </c>
      <c r="BE2" t="s">
        <v>101</v>
      </c>
      <c r="BF2" t="str">
        <f>HYPERLINK("http://dx.doi.org/10.1016/S0031-0182(01)00451-5","http://dx.doi.org/10.1016/S0031-0182(01)00451-5")</f>
        <v>http://dx.doi.org/10.1016/S0031-0182(01)00451-5</v>
      </c>
      <c r="BG2" t="s">
        <v>74</v>
      </c>
      <c r="BH2" t="s">
        <v>74</v>
      </c>
      <c r="BI2">
        <v>15</v>
      </c>
      <c r="BJ2" t="s">
        <v>102</v>
      </c>
      <c r="BK2" t="s">
        <v>103</v>
      </c>
      <c r="BL2" t="s">
        <v>104</v>
      </c>
      <c r="BM2" t="s">
        <v>105</v>
      </c>
      <c r="BN2" t="s">
        <v>74</v>
      </c>
      <c r="BO2" t="s">
        <v>106</v>
      </c>
      <c r="BP2" t="s">
        <v>74</v>
      </c>
      <c r="BQ2" t="s">
        <v>74</v>
      </c>
      <c r="BR2" t="s">
        <v>107</v>
      </c>
      <c r="BS2" t="s">
        <v>108</v>
      </c>
      <c r="BT2" t="str">
        <f>HYPERLINK("https%3A%2F%2Fwww.webofscience.com%2Fwos%2Fwoscc%2Ffull-record%2FWOS:000176611200004","View Full Record in Web of Science")</f>
        <v>View Full Record in Web of Science</v>
      </c>
    </row>
    <row r="3" spans="1:72" x14ac:dyDescent="0.15">
      <c r="A3" t="s">
        <v>72</v>
      </c>
      <c r="B3" t="s">
        <v>109</v>
      </c>
      <c r="C3" t="s">
        <v>74</v>
      </c>
      <c r="D3" t="s">
        <v>74</v>
      </c>
      <c r="E3" t="s">
        <v>74</v>
      </c>
      <c r="F3" t="s">
        <v>109</v>
      </c>
      <c r="G3" t="s">
        <v>74</v>
      </c>
      <c r="H3" t="s">
        <v>74</v>
      </c>
      <c r="I3" t="s">
        <v>110</v>
      </c>
      <c r="J3" t="s">
        <v>76</v>
      </c>
      <c r="K3" t="s">
        <v>74</v>
      </c>
      <c r="L3" t="s">
        <v>74</v>
      </c>
      <c r="M3" t="s">
        <v>77</v>
      </c>
      <c r="N3" t="s">
        <v>78</v>
      </c>
      <c r="O3" t="s">
        <v>79</v>
      </c>
      <c r="P3" t="s">
        <v>80</v>
      </c>
      <c r="Q3" t="s">
        <v>81</v>
      </c>
      <c r="R3" t="s">
        <v>74</v>
      </c>
      <c r="S3" t="s">
        <v>82</v>
      </c>
      <c r="T3" t="s">
        <v>111</v>
      </c>
      <c r="U3" t="s">
        <v>112</v>
      </c>
      <c r="V3" t="s">
        <v>113</v>
      </c>
      <c r="W3" t="s">
        <v>114</v>
      </c>
      <c r="X3" t="s">
        <v>115</v>
      </c>
      <c r="Y3" t="s">
        <v>116</v>
      </c>
      <c r="Z3" t="s">
        <v>117</v>
      </c>
      <c r="AA3" t="s">
        <v>74</v>
      </c>
      <c r="AB3" t="s">
        <v>74</v>
      </c>
      <c r="AC3" t="s">
        <v>74</v>
      </c>
      <c r="AD3" t="s">
        <v>74</v>
      </c>
      <c r="AE3" t="s">
        <v>74</v>
      </c>
      <c r="AF3" t="s">
        <v>74</v>
      </c>
      <c r="AG3">
        <v>85</v>
      </c>
      <c r="AH3">
        <v>124</v>
      </c>
      <c r="AI3">
        <v>148</v>
      </c>
      <c r="AJ3">
        <v>4</v>
      </c>
      <c r="AK3">
        <v>40</v>
      </c>
      <c r="AL3" t="s">
        <v>90</v>
      </c>
      <c r="AM3" t="s">
        <v>91</v>
      </c>
      <c r="AN3" t="s">
        <v>92</v>
      </c>
      <c r="AO3" t="s">
        <v>93</v>
      </c>
      <c r="AP3" t="s">
        <v>94</v>
      </c>
      <c r="AQ3" t="s">
        <v>74</v>
      </c>
      <c r="AR3" t="s">
        <v>95</v>
      </c>
      <c r="AS3" t="s">
        <v>96</v>
      </c>
      <c r="AT3" t="s">
        <v>97</v>
      </c>
      <c r="AU3">
        <v>2002</v>
      </c>
      <c r="AV3">
        <v>182</v>
      </c>
      <c r="AW3" t="s">
        <v>98</v>
      </c>
      <c r="AX3" t="s">
        <v>74</v>
      </c>
      <c r="AY3" t="s">
        <v>74</v>
      </c>
      <c r="AZ3" t="s">
        <v>99</v>
      </c>
      <c r="BA3" t="s">
        <v>74</v>
      </c>
      <c r="BB3">
        <v>47</v>
      </c>
      <c r="BC3">
        <v>64</v>
      </c>
      <c r="BD3" t="s">
        <v>118</v>
      </c>
      <c r="BE3" t="s">
        <v>119</v>
      </c>
      <c r="BF3" t="str">
        <f>HYPERLINK("http://dx.doi.org/10.1016/S0031-0182(01)00452-7","http://dx.doi.org/10.1016/S0031-0182(01)00452-7")</f>
        <v>http://dx.doi.org/10.1016/S0031-0182(01)00452-7</v>
      </c>
      <c r="BG3" t="s">
        <v>74</v>
      </c>
      <c r="BH3" t="s">
        <v>74</v>
      </c>
      <c r="BI3">
        <v>18</v>
      </c>
      <c r="BJ3" t="s">
        <v>102</v>
      </c>
      <c r="BK3" t="s">
        <v>103</v>
      </c>
      <c r="BL3" t="s">
        <v>104</v>
      </c>
      <c r="BM3" t="s">
        <v>105</v>
      </c>
      <c r="BN3" t="s">
        <v>74</v>
      </c>
      <c r="BO3" t="s">
        <v>106</v>
      </c>
      <c r="BP3" t="s">
        <v>74</v>
      </c>
      <c r="BQ3" t="s">
        <v>74</v>
      </c>
      <c r="BR3" t="s">
        <v>107</v>
      </c>
      <c r="BS3" t="s">
        <v>120</v>
      </c>
      <c r="BT3" t="str">
        <f>HYPERLINK("https%3A%2F%2Fwww.webofscience.com%2Fwos%2Fwoscc%2Ffull-record%2FWOS:000176611200005","View Full Record in Web of Science")</f>
        <v>View Full Record in Web of Science</v>
      </c>
    </row>
    <row r="4" spans="1:72" x14ac:dyDescent="0.15">
      <c r="A4" t="s">
        <v>72</v>
      </c>
      <c r="B4" t="s">
        <v>121</v>
      </c>
      <c r="C4" t="s">
        <v>74</v>
      </c>
      <c r="D4" t="s">
        <v>74</v>
      </c>
      <c r="E4" t="s">
        <v>74</v>
      </c>
      <c r="F4" t="s">
        <v>121</v>
      </c>
      <c r="G4" t="s">
        <v>74</v>
      </c>
      <c r="H4" t="s">
        <v>74</v>
      </c>
      <c r="I4" t="s">
        <v>122</v>
      </c>
      <c r="J4" t="s">
        <v>76</v>
      </c>
      <c r="K4" t="s">
        <v>74</v>
      </c>
      <c r="L4" t="s">
        <v>74</v>
      </c>
      <c r="M4" t="s">
        <v>77</v>
      </c>
      <c r="N4" t="s">
        <v>78</v>
      </c>
      <c r="O4" t="s">
        <v>79</v>
      </c>
      <c r="P4" t="s">
        <v>80</v>
      </c>
      <c r="Q4" t="s">
        <v>81</v>
      </c>
      <c r="R4" t="s">
        <v>74</v>
      </c>
      <c r="S4" t="s">
        <v>82</v>
      </c>
      <c r="T4" t="s">
        <v>123</v>
      </c>
      <c r="U4" t="s">
        <v>124</v>
      </c>
      <c r="V4" t="s">
        <v>125</v>
      </c>
      <c r="W4" t="s">
        <v>126</v>
      </c>
      <c r="X4" t="s">
        <v>127</v>
      </c>
      <c r="Y4" t="s">
        <v>128</v>
      </c>
      <c r="Z4" t="s">
        <v>129</v>
      </c>
      <c r="AA4" t="s">
        <v>130</v>
      </c>
      <c r="AB4" t="s">
        <v>131</v>
      </c>
      <c r="AC4" t="s">
        <v>74</v>
      </c>
      <c r="AD4" t="s">
        <v>74</v>
      </c>
      <c r="AE4" t="s">
        <v>74</v>
      </c>
      <c r="AF4" t="s">
        <v>74</v>
      </c>
      <c r="AG4">
        <v>67</v>
      </c>
      <c r="AH4">
        <v>24</v>
      </c>
      <c r="AI4">
        <v>25</v>
      </c>
      <c r="AJ4">
        <v>2</v>
      </c>
      <c r="AK4">
        <v>10</v>
      </c>
      <c r="AL4" t="s">
        <v>132</v>
      </c>
      <c r="AM4" t="s">
        <v>91</v>
      </c>
      <c r="AN4" t="s">
        <v>133</v>
      </c>
      <c r="AO4" t="s">
        <v>93</v>
      </c>
      <c r="AP4" t="s">
        <v>94</v>
      </c>
      <c r="AQ4" t="s">
        <v>74</v>
      </c>
      <c r="AR4" t="s">
        <v>95</v>
      </c>
      <c r="AS4" t="s">
        <v>96</v>
      </c>
      <c r="AT4" t="s">
        <v>97</v>
      </c>
      <c r="AU4">
        <v>2002</v>
      </c>
      <c r="AV4">
        <v>182</v>
      </c>
      <c r="AW4" t="s">
        <v>98</v>
      </c>
      <c r="AX4" t="s">
        <v>74</v>
      </c>
      <c r="AY4" t="s">
        <v>74</v>
      </c>
      <c r="AZ4" t="s">
        <v>99</v>
      </c>
      <c r="BA4" t="s">
        <v>74</v>
      </c>
      <c r="BB4">
        <v>93</v>
      </c>
      <c r="BC4">
        <v>115</v>
      </c>
      <c r="BD4" t="s">
        <v>134</v>
      </c>
      <c r="BE4" t="s">
        <v>74</v>
      </c>
      <c r="BF4" t="s">
        <v>74</v>
      </c>
      <c r="BG4" t="s">
        <v>74</v>
      </c>
      <c r="BH4" t="s">
        <v>74</v>
      </c>
      <c r="BI4">
        <v>23</v>
      </c>
      <c r="BJ4" t="s">
        <v>102</v>
      </c>
      <c r="BK4" t="s">
        <v>103</v>
      </c>
      <c r="BL4" t="s">
        <v>104</v>
      </c>
      <c r="BM4" t="s">
        <v>105</v>
      </c>
      <c r="BN4" t="s">
        <v>74</v>
      </c>
      <c r="BO4" t="s">
        <v>74</v>
      </c>
      <c r="BP4" t="s">
        <v>74</v>
      </c>
      <c r="BQ4" t="s">
        <v>74</v>
      </c>
      <c r="BR4" t="s">
        <v>107</v>
      </c>
      <c r="BS4" t="s">
        <v>135</v>
      </c>
      <c r="BT4" t="str">
        <f>HYPERLINK("https%3A%2F%2Fwww.webofscience.com%2Fwos%2Fwoscc%2Ffull-record%2FWOS:000176611200007","View Full Record in Web of Science")</f>
        <v>View Full Record in Web of Science</v>
      </c>
    </row>
    <row r="5" spans="1:72" x14ac:dyDescent="0.15">
      <c r="A5" t="s">
        <v>72</v>
      </c>
      <c r="B5" t="s">
        <v>136</v>
      </c>
      <c r="C5" t="s">
        <v>74</v>
      </c>
      <c r="D5" t="s">
        <v>74</v>
      </c>
      <c r="E5" t="s">
        <v>74</v>
      </c>
      <c r="F5" t="s">
        <v>136</v>
      </c>
      <c r="G5" t="s">
        <v>74</v>
      </c>
      <c r="H5" t="s">
        <v>74</v>
      </c>
      <c r="I5" t="s">
        <v>137</v>
      </c>
      <c r="J5" t="s">
        <v>76</v>
      </c>
      <c r="K5" t="s">
        <v>74</v>
      </c>
      <c r="L5" t="s">
        <v>74</v>
      </c>
      <c r="M5" t="s">
        <v>77</v>
      </c>
      <c r="N5" t="s">
        <v>78</v>
      </c>
      <c r="O5" t="s">
        <v>79</v>
      </c>
      <c r="P5" t="s">
        <v>80</v>
      </c>
      <c r="Q5" t="s">
        <v>81</v>
      </c>
      <c r="R5" t="s">
        <v>74</v>
      </c>
      <c r="S5" t="s">
        <v>82</v>
      </c>
      <c r="T5" t="s">
        <v>138</v>
      </c>
      <c r="U5" t="s">
        <v>139</v>
      </c>
      <c r="V5" t="s">
        <v>140</v>
      </c>
      <c r="W5" t="s">
        <v>141</v>
      </c>
      <c r="X5" t="s">
        <v>142</v>
      </c>
      <c r="Y5" t="s">
        <v>143</v>
      </c>
      <c r="Z5" t="s">
        <v>144</v>
      </c>
      <c r="AA5" t="s">
        <v>145</v>
      </c>
      <c r="AB5" t="s">
        <v>146</v>
      </c>
      <c r="AC5" t="s">
        <v>74</v>
      </c>
      <c r="AD5" t="s">
        <v>74</v>
      </c>
      <c r="AE5" t="s">
        <v>74</v>
      </c>
      <c r="AF5" t="s">
        <v>74</v>
      </c>
      <c r="AG5">
        <v>63</v>
      </c>
      <c r="AH5">
        <v>36</v>
      </c>
      <c r="AI5">
        <v>38</v>
      </c>
      <c r="AJ5">
        <v>1</v>
      </c>
      <c r="AK5">
        <v>12</v>
      </c>
      <c r="AL5" t="s">
        <v>132</v>
      </c>
      <c r="AM5" t="s">
        <v>91</v>
      </c>
      <c r="AN5" t="s">
        <v>133</v>
      </c>
      <c r="AO5" t="s">
        <v>93</v>
      </c>
      <c r="AP5" t="s">
        <v>94</v>
      </c>
      <c r="AQ5" t="s">
        <v>74</v>
      </c>
      <c r="AR5" t="s">
        <v>95</v>
      </c>
      <c r="AS5" t="s">
        <v>96</v>
      </c>
      <c r="AT5" t="s">
        <v>97</v>
      </c>
      <c r="AU5">
        <v>2002</v>
      </c>
      <c r="AV5">
        <v>182</v>
      </c>
      <c r="AW5" t="s">
        <v>98</v>
      </c>
      <c r="AX5" t="s">
        <v>74</v>
      </c>
      <c r="AY5" t="s">
        <v>74</v>
      </c>
      <c r="AZ5" t="s">
        <v>99</v>
      </c>
      <c r="BA5" t="s">
        <v>74</v>
      </c>
      <c r="BB5">
        <v>117</v>
      </c>
      <c r="BC5">
        <v>131</v>
      </c>
      <c r="BD5" t="s">
        <v>147</v>
      </c>
      <c r="BE5" t="s">
        <v>148</v>
      </c>
      <c r="BF5" t="str">
        <f>HYPERLINK("http://dx.doi.org/10.1016/S0031-0182(01)00455-2","http://dx.doi.org/10.1016/S0031-0182(01)00455-2")</f>
        <v>http://dx.doi.org/10.1016/S0031-0182(01)00455-2</v>
      </c>
      <c r="BG5" t="s">
        <v>74</v>
      </c>
      <c r="BH5" t="s">
        <v>74</v>
      </c>
      <c r="BI5">
        <v>15</v>
      </c>
      <c r="BJ5" t="s">
        <v>102</v>
      </c>
      <c r="BK5" t="s">
        <v>103</v>
      </c>
      <c r="BL5" t="s">
        <v>104</v>
      </c>
      <c r="BM5" t="s">
        <v>105</v>
      </c>
      <c r="BN5" t="s">
        <v>74</v>
      </c>
      <c r="BO5" t="s">
        <v>74</v>
      </c>
      <c r="BP5" t="s">
        <v>74</v>
      </c>
      <c r="BQ5" t="s">
        <v>74</v>
      </c>
      <c r="BR5" t="s">
        <v>107</v>
      </c>
      <c r="BS5" t="s">
        <v>149</v>
      </c>
      <c r="BT5" t="str">
        <f>HYPERLINK("https%3A%2F%2Fwww.webofscience.com%2Fwos%2Fwoscc%2Ffull-record%2FWOS:000176611200008","View Full Record in Web of Science")</f>
        <v>View Full Record in Web of Science</v>
      </c>
    </row>
    <row r="6" spans="1:72" x14ac:dyDescent="0.15">
      <c r="A6" t="s">
        <v>72</v>
      </c>
      <c r="B6" t="s">
        <v>150</v>
      </c>
      <c r="C6" t="s">
        <v>74</v>
      </c>
      <c r="D6" t="s">
        <v>74</v>
      </c>
      <c r="E6" t="s">
        <v>74</v>
      </c>
      <c r="F6" t="s">
        <v>150</v>
      </c>
      <c r="G6" t="s">
        <v>74</v>
      </c>
      <c r="H6" t="s">
        <v>74</v>
      </c>
      <c r="I6" t="s">
        <v>151</v>
      </c>
      <c r="J6" t="s">
        <v>152</v>
      </c>
      <c r="K6" t="s">
        <v>74</v>
      </c>
      <c r="L6" t="s">
        <v>74</v>
      </c>
      <c r="M6" t="s">
        <v>77</v>
      </c>
      <c r="N6" t="s">
        <v>153</v>
      </c>
      <c r="O6" t="s">
        <v>74</v>
      </c>
      <c r="P6" t="s">
        <v>74</v>
      </c>
      <c r="Q6" t="s">
        <v>74</v>
      </c>
      <c r="R6" t="s">
        <v>74</v>
      </c>
      <c r="S6" t="s">
        <v>74</v>
      </c>
      <c r="T6" t="s">
        <v>154</v>
      </c>
      <c r="U6" t="s">
        <v>155</v>
      </c>
      <c r="V6" t="s">
        <v>156</v>
      </c>
      <c r="W6" t="s">
        <v>157</v>
      </c>
      <c r="X6" t="s">
        <v>158</v>
      </c>
      <c r="Y6" t="s">
        <v>159</v>
      </c>
      <c r="Z6" t="s">
        <v>160</v>
      </c>
      <c r="AA6" t="s">
        <v>74</v>
      </c>
      <c r="AB6" t="s">
        <v>74</v>
      </c>
      <c r="AC6" t="s">
        <v>74</v>
      </c>
      <c r="AD6" t="s">
        <v>74</v>
      </c>
      <c r="AE6" t="s">
        <v>74</v>
      </c>
      <c r="AF6" t="s">
        <v>74</v>
      </c>
      <c r="AG6">
        <v>66</v>
      </c>
      <c r="AH6">
        <v>46</v>
      </c>
      <c r="AI6">
        <v>50</v>
      </c>
      <c r="AJ6">
        <v>1</v>
      </c>
      <c r="AK6">
        <v>12</v>
      </c>
      <c r="AL6" t="s">
        <v>161</v>
      </c>
      <c r="AM6" t="s">
        <v>162</v>
      </c>
      <c r="AN6" t="s">
        <v>163</v>
      </c>
      <c r="AO6" t="s">
        <v>164</v>
      </c>
      <c r="AP6" t="s">
        <v>165</v>
      </c>
      <c r="AQ6" t="s">
        <v>74</v>
      </c>
      <c r="AR6" t="s">
        <v>152</v>
      </c>
      <c r="AS6" t="s">
        <v>166</v>
      </c>
      <c r="AT6" t="s">
        <v>167</v>
      </c>
      <c r="AU6">
        <v>2002</v>
      </c>
      <c r="AV6">
        <v>17</v>
      </c>
      <c r="AW6">
        <v>3</v>
      </c>
      <c r="AX6" t="s">
        <v>74</v>
      </c>
      <c r="AY6" t="s">
        <v>74</v>
      </c>
      <c r="AZ6" t="s">
        <v>74</v>
      </c>
      <c r="BA6" t="s">
        <v>74</v>
      </c>
      <c r="BB6" t="s">
        <v>74</v>
      </c>
      <c r="BC6" t="s">
        <v>74</v>
      </c>
      <c r="BD6">
        <v>8003</v>
      </c>
      <c r="BE6" t="s">
        <v>168</v>
      </c>
      <c r="BF6" t="str">
        <f>HYPERLINK("http://dx.doi.org/10.1029/2000PA000563","http://dx.doi.org/10.1029/2000PA000563")</f>
        <v>http://dx.doi.org/10.1029/2000PA000563</v>
      </c>
      <c r="BG6" t="s">
        <v>74</v>
      </c>
      <c r="BH6" t="s">
        <v>74</v>
      </c>
      <c r="BI6">
        <v>8</v>
      </c>
      <c r="BJ6" t="s">
        <v>169</v>
      </c>
      <c r="BK6" t="s">
        <v>170</v>
      </c>
      <c r="BL6" t="s">
        <v>171</v>
      </c>
      <c r="BM6" t="s">
        <v>172</v>
      </c>
      <c r="BN6" t="s">
        <v>74</v>
      </c>
      <c r="BO6" t="s">
        <v>173</v>
      </c>
      <c r="BP6" t="s">
        <v>74</v>
      </c>
      <c r="BQ6" t="s">
        <v>74</v>
      </c>
      <c r="BR6" t="s">
        <v>107</v>
      </c>
      <c r="BS6" t="s">
        <v>174</v>
      </c>
      <c r="BT6" t="str">
        <f>HYPERLINK("https%3A%2F%2Fwww.webofscience.com%2Fwos%2Fwoscc%2Ffull-record%2FWOS:000179015500001","View Full Record in Web of Science")</f>
        <v>View Full Record in Web of Science</v>
      </c>
    </row>
    <row r="7" spans="1:72" x14ac:dyDescent="0.15">
      <c r="A7" t="s">
        <v>72</v>
      </c>
      <c r="B7" t="s">
        <v>175</v>
      </c>
      <c r="C7" t="s">
        <v>74</v>
      </c>
      <c r="D7" t="s">
        <v>74</v>
      </c>
      <c r="E7" t="s">
        <v>74</v>
      </c>
      <c r="F7" t="s">
        <v>175</v>
      </c>
      <c r="G7" t="s">
        <v>74</v>
      </c>
      <c r="H7" t="s">
        <v>74</v>
      </c>
      <c r="I7" t="s">
        <v>176</v>
      </c>
      <c r="J7" t="s">
        <v>152</v>
      </c>
      <c r="K7" t="s">
        <v>74</v>
      </c>
      <c r="L7" t="s">
        <v>74</v>
      </c>
      <c r="M7" t="s">
        <v>77</v>
      </c>
      <c r="N7" t="s">
        <v>153</v>
      </c>
      <c r="O7" t="s">
        <v>74</v>
      </c>
      <c r="P7" t="s">
        <v>74</v>
      </c>
      <c r="Q7" t="s">
        <v>74</v>
      </c>
      <c r="R7" t="s">
        <v>74</v>
      </c>
      <c r="S7" t="s">
        <v>74</v>
      </c>
      <c r="T7" t="s">
        <v>177</v>
      </c>
      <c r="U7" t="s">
        <v>178</v>
      </c>
      <c r="V7" t="s">
        <v>179</v>
      </c>
      <c r="W7" t="s">
        <v>180</v>
      </c>
      <c r="X7" t="s">
        <v>181</v>
      </c>
      <c r="Y7" t="s">
        <v>182</v>
      </c>
      <c r="Z7" t="s">
        <v>183</v>
      </c>
      <c r="AA7" t="s">
        <v>74</v>
      </c>
      <c r="AB7" t="s">
        <v>74</v>
      </c>
      <c r="AC7" t="s">
        <v>74</v>
      </c>
      <c r="AD7" t="s">
        <v>74</v>
      </c>
      <c r="AE7" t="s">
        <v>74</v>
      </c>
      <c r="AF7" t="s">
        <v>74</v>
      </c>
      <c r="AG7">
        <v>94</v>
      </c>
      <c r="AH7">
        <v>23</v>
      </c>
      <c r="AI7">
        <v>25</v>
      </c>
      <c r="AJ7">
        <v>1</v>
      </c>
      <c r="AK7">
        <v>12</v>
      </c>
      <c r="AL7" t="s">
        <v>161</v>
      </c>
      <c r="AM7" t="s">
        <v>162</v>
      </c>
      <c r="AN7" t="s">
        <v>163</v>
      </c>
      <c r="AO7" t="s">
        <v>164</v>
      </c>
      <c r="AP7" t="s">
        <v>165</v>
      </c>
      <c r="AQ7" t="s">
        <v>74</v>
      </c>
      <c r="AR7" t="s">
        <v>152</v>
      </c>
      <c r="AS7" t="s">
        <v>166</v>
      </c>
      <c r="AT7" t="s">
        <v>167</v>
      </c>
      <c r="AU7">
        <v>2002</v>
      </c>
      <c r="AV7">
        <v>17</v>
      </c>
      <c r="AW7">
        <v>3</v>
      </c>
      <c r="AX7" t="s">
        <v>74</v>
      </c>
      <c r="AY7" t="s">
        <v>74</v>
      </c>
      <c r="AZ7" t="s">
        <v>74</v>
      </c>
      <c r="BA7" t="s">
        <v>74</v>
      </c>
      <c r="BB7" t="s">
        <v>74</v>
      </c>
      <c r="BC7" t="s">
        <v>74</v>
      </c>
      <c r="BD7">
        <v>1026</v>
      </c>
      <c r="BE7" t="s">
        <v>184</v>
      </c>
      <c r="BF7" t="str">
        <f>HYPERLINK("http://dx.doi.org/10.1029/2000PA000564","http://dx.doi.org/10.1029/2000PA000564")</f>
        <v>http://dx.doi.org/10.1029/2000PA000564</v>
      </c>
      <c r="BG7" t="s">
        <v>74</v>
      </c>
      <c r="BH7" t="s">
        <v>74</v>
      </c>
      <c r="BI7">
        <v>12</v>
      </c>
      <c r="BJ7" t="s">
        <v>169</v>
      </c>
      <c r="BK7" t="s">
        <v>170</v>
      </c>
      <c r="BL7" t="s">
        <v>171</v>
      </c>
      <c r="BM7" t="s">
        <v>172</v>
      </c>
      <c r="BN7" t="s">
        <v>74</v>
      </c>
      <c r="BO7" t="s">
        <v>173</v>
      </c>
      <c r="BP7" t="s">
        <v>74</v>
      </c>
      <c r="BQ7" t="s">
        <v>74</v>
      </c>
      <c r="BR7" t="s">
        <v>107</v>
      </c>
      <c r="BS7" t="s">
        <v>185</v>
      </c>
      <c r="BT7" t="str">
        <f>HYPERLINK("https%3A%2F%2Fwww.webofscience.com%2Fwos%2Fwoscc%2Ffull-record%2FWOS:000179015500016","View Full Record in Web of Science")</f>
        <v>View Full Record in Web of Science</v>
      </c>
    </row>
    <row r="8" spans="1:72" x14ac:dyDescent="0.15">
      <c r="A8" t="s">
        <v>72</v>
      </c>
      <c r="B8" t="s">
        <v>186</v>
      </c>
      <c r="C8" t="s">
        <v>74</v>
      </c>
      <c r="D8" t="s">
        <v>74</v>
      </c>
      <c r="E8" t="s">
        <v>74</v>
      </c>
      <c r="F8" t="s">
        <v>186</v>
      </c>
      <c r="G8" t="s">
        <v>74</v>
      </c>
      <c r="H8" t="s">
        <v>74</v>
      </c>
      <c r="I8" t="s">
        <v>187</v>
      </c>
      <c r="J8" t="s">
        <v>188</v>
      </c>
      <c r="K8" t="s">
        <v>74</v>
      </c>
      <c r="L8" t="s">
        <v>74</v>
      </c>
      <c r="M8" t="s">
        <v>77</v>
      </c>
      <c r="N8" t="s">
        <v>153</v>
      </c>
      <c r="O8" t="s">
        <v>74</v>
      </c>
      <c r="P8" t="s">
        <v>74</v>
      </c>
      <c r="Q8" t="s">
        <v>74</v>
      </c>
      <c r="R8" t="s">
        <v>74</v>
      </c>
      <c r="S8" t="s">
        <v>74</v>
      </c>
      <c r="T8" t="s">
        <v>74</v>
      </c>
      <c r="U8" t="s">
        <v>74</v>
      </c>
      <c r="V8" t="s">
        <v>189</v>
      </c>
      <c r="W8" t="s">
        <v>190</v>
      </c>
      <c r="X8" t="s">
        <v>191</v>
      </c>
      <c r="Y8" t="s">
        <v>192</v>
      </c>
      <c r="Z8" t="s">
        <v>193</v>
      </c>
      <c r="AA8" t="s">
        <v>74</v>
      </c>
      <c r="AB8" t="s">
        <v>74</v>
      </c>
      <c r="AC8" t="s">
        <v>74</v>
      </c>
      <c r="AD8" t="s">
        <v>74</v>
      </c>
      <c r="AE8" t="s">
        <v>74</v>
      </c>
      <c r="AF8" t="s">
        <v>74</v>
      </c>
      <c r="AG8">
        <v>21</v>
      </c>
      <c r="AH8">
        <v>25</v>
      </c>
      <c r="AI8">
        <v>26</v>
      </c>
      <c r="AJ8">
        <v>1</v>
      </c>
      <c r="AK8">
        <v>7</v>
      </c>
      <c r="AL8" t="s">
        <v>194</v>
      </c>
      <c r="AM8" t="s">
        <v>195</v>
      </c>
      <c r="AN8" t="s">
        <v>196</v>
      </c>
      <c r="AO8" t="s">
        <v>197</v>
      </c>
      <c r="AP8" t="s">
        <v>198</v>
      </c>
      <c r="AQ8" t="s">
        <v>74</v>
      </c>
      <c r="AR8" t="s">
        <v>199</v>
      </c>
      <c r="AS8" t="s">
        <v>200</v>
      </c>
      <c r="AT8" t="s">
        <v>201</v>
      </c>
      <c r="AU8">
        <v>2002</v>
      </c>
      <c r="AV8">
        <v>88</v>
      </c>
      <c r="AW8">
        <v>7</v>
      </c>
      <c r="AX8" t="s">
        <v>74</v>
      </c>
      <c r="AY8" t="s">
        <v>74</v>
      </c>
      <c r="AZ8" t="s">
        <v>74</v>
      </c>
      <c r="BA8" t="s">
        <v>74</v>
      </c>
      <c r="BB8">
        <v>651</v>
      </c>
      <c r="BC8">
        <v>660</v>
      </c>
      <c r="BD8" t="s">
        <v>74</v>
      </c>
      <c r="BE8" t="s">
        <v>202</v>
      </c>
      <c r="BF8" t="str">
        <f>HYPERLINK("http://dx.doi.org/10.1007/s00436-002-0630-7","http://dx.doi.org/10.1007/s00436-002-0630-7")</f>
        <v>http://dx.doi.org/10.1007/s00436-002-0630-7</v>
      </c>
      <c r="BG8" t="s">
        <v>74</v>
      </c>
      <c r="BH8" t="s">
        <v>74</v>
      </c>
      <c r="BI8">
        <v>10</v>
      </c>
      <c r="BJ8" t="s">
        <v>203</v>
      </c>
      <c r="BK8" t="s">
        <v>170</v>
      </c>
      <c r="BL8" t="s">
        <v>203</v>
      </c>
      <c r="BM8" t="s">
        <v>204</v>
      </c>
      <c r="BN8">
        <v>12107458</v>
      </c>
      <c r="BO8" t="s">
        <v>74</v>
      </c>
      <c r="BP8" t="s">
        <v>74</v>
      </c>
      <c r="BQ8" t="s">
        <v>74</v>
      </c>
      <c r="BR8" t="s">
        <v>107</v>
      </c>
      <c r="BS8" t="s">
        <v>205</v>
      </c>
      <c r="BT8" t="str">
        <f>HYPERLINK("https%3A%2F%2Fwww.webofscience.com%2Fwos%2Fwoscc%2Ffull-record%2FWOS:000176777700010","View Full Record in Web of Science")</f>
        <v>View Full Record in Web of Science</v>
      </c>
    </row>
    <row r="9" spans="1:72" x14ac:dyDescent="0.15">
      <c r="A9" t="s">
        <v>72</v>
      </c>
      <c r="B9" t="s">
        <v>206</v>
      </c>
      <c r="C9" t="s">
        <v>74</v>
      </c>
      <c r="D9" t="s">
        <v>74</v>
      </c>
      <c r="E9" t="s">
        <v>74</v>
      </c>
      <c r="F9" t="s">
        <v>206</v>
      </c>
      <c r="G9" t="s">
        <v>74</v>
      </c>
      <c r="H9" t="s">
        <v>74</v>
      </c>
      <c r="I9" t="s">
        <v>207</v>
      </c>
      <c r="J9" t="s">
        <v>208</v>
      </c>
      <c r="K9" t="s">
        <v>74</v>
      </c>
      <c r="L9" t="s">
        <v>74</v>
      </c>
      <c r="M9" t="s">
        <v>77</v>
      </c>
      <c r="N9" t="s">
        <v>153</v>
      </c>
      <c r="O9" t="s">
        <v>74</v>
      </c>
      <c r="P9" t="s">
        <v>74</v>
      </c>
      <c r="Q9" t="s">
        <v>74</v>
      </c>
      <c r="R9" t="s">
        <v>74</v>
      </c>
      <c r="S9" t="s">
        <v>74</v>
      </c>
      <c r="T9" t="s">
        <v>209</v>
      </c>
      <c r="U9" t="s">
        <v>210</v>
      </c>
      <c r="V9" t="s">
        <v>211</v>
      </c>
      <c r="W9" t="s">
        <v>212</v>
      </c>
      <c r="X9" t="s">
        <v>213</v>
      </c>
      <c r="Y9" t="s">
        <v>214</v>
      </c>
      <c r="Z9" t="s">
        <v>74</v>
      </c>
      <c r="AA9" t="s">
        <v>74</v>
      </c>
      <c r="AB9" t="s">
        <v>74</v>
      </c>
      <c r="AC9" t="s">
        <v>74</v>
      </c>
      <c r="AD9" t="s">
        <v>74</v>
      </c>
      <c r="AE9" t="s">
        <v>74</v>
      </c>
      <c r="AF9" t="s">
        <v>74</v>
      </c>
      <c r="AG9">
        <v>19</v>
      </c>
      <c r="AH9">
        <v>15</v>
      </c>
      <c r="AI9">
        <v>15</v>
      </c>
      <c r="AJ9">
        <v>0</v>
      </c>
      <c r="AK9">
        <v>9</v>
      </c>
      <c r="AL9" t="s">
        <v>215</v>
      </c>
      <c r="AM9" t="s">
        <v>216</v>
      </c>
      <c r="AN9" t="s">
        <v>217</v>
      </c>
      <c r="AO9" t="s">
        <v>218</v>
      </c>
      <c r="AP9" t="s">
        <v>74</v>
      </c>
      <c r="AQ9" t="s">
        <v>74</v>
      </c>
      <c r="AR9" t="s">
        <v>219</v>
      </c>
      <c r="AS9" t="s">
        <v>220</v>
      </c>
      <c r="AT9" t="s">
        <v>221</v>
      </c>
      <c r="AU9">
        <v>2002</v>
      </c>
      <c r="AV9">
        <v>13</v>
      </c>
      <c r="AW9">
        <v>3</v>
      </c>
      <c r="AX9" t="s">
        <v>74</v>
      </c>
      <c r="AY9" t="s">
        <v>74</v>
      </c>
      <c r="AZ9" t="s">
        <v>74</v>
      </c>
      <c r="BA9" t="s">
        <v>74</v>
      </c>
      <c r="BB9">
        <v>231</v>
      </c>
      <c r="BC9">
        <v>236</v>
      </c>
      <c r="BD9" t="s">
        <v>74</v>
      </c>
      <c r="BE9" t="s">
        <v>222</v>
      </c>
      <c r="BF9" t="str">
        <f>HYPERLINK("http://dx.doi.org/10.1002/ppp.423","http://dx.doi.org/10.1002/ppp.423")</f>
        <v>http://dx.doi.org/10.1002/ppp.423</v>
      </c>
      <c r="BG9" t="s">
        <v>74</v>
      </c>
      <c r="BH9" t="s">
        <v>74</v>
      </c>
      <c r="BI9">
        <v>6</v>
      </c>
      <c r="BJ9" t="s">
        <v>223</v>
      </c>
      <c r="BK9" t="s">
        <v>170</v>
      </c>
      <c r="BL9" t="s">
        <v>224</v>
      </c>
      <c r="BM9" t="s">
        <v>225</v>
      </c>
      <c r="BN9" t="s">
        <v>74</v>
      </c>
      <c r="BO9" t="s">
        <v>106</v>
      </c>
      <c r="BP9" t="s">
        <v>74</v>
      </c>
      <c r="BQ9" t="s">
        <v>74</v>
      </c>
      <c r="BR9" t="s">
        <v>107</v>
      </c>
      <c r="BS9" t="s">
        <v>226</v>
      </c>
      <c r="BT9" t="str">
        <f>HYPERLINK("https%3A%2F%2Fwww.webofscience.com%2Fwos%2Fwoscc%2Ffull-record%2FWOS:000178843000005","View Full Record in Web of Science")</f>
        <v>View Full Record in Web of Science</v>
      </c>
    </row>
    <row r="10" spans="1:72" x14ac:dyDescent="0.15">
      <c r="A10" t="s">
        <v>72</v>
      </c>
      <c r="B10" t="s">
        <v>227</v>
      </c>
      <c r="C10" t="s">
        <v>74</v>
      </c>
      <c r="D10" t="s">
        <v>74</v>
      </c>
      <c r="E10" t="s">
        <v>74</v>
      </c>
      <c r="F10" t="s">
        <v>227</v>
      </c>
      <c r="G10" t="s">
        <v>74</v>
      </c>
      <c r="H10" t="s">
        <v>74</v>
      </c>
      <c r="I10" t="s">
        <v>228</v>
      </c>
      <c r="J10" t="s">
        <v>208</v>
      </c>
      <c r="K10" t="s">
        <v>74</v>
      </c>
      <c r="L10" t="s">
        <v>74</v>
      </c>
      <c r="M10" t="s">
        <v>77</v>
      </c>
      <c r="N10" t="s">
        <v>153</v>
      </c>
      <c r="O10" t="s">
        <v>74</v>
      </c>
      <c r="P10" t="s">
        <v>74</v>
      </c>
      <c r="Q10" t="s">
        <v>74</v>
      </c>
      <c r="R10" t="s">
        <v>74</v>
      </c>
      <c r="S10" t="s">
        <v>74</v>
      </c>
      <c r="T10" t="s">
        <v>229</v>
      </c>
      <c r="U10" t="s">
        <v>230</v>
      </c>
      <c r="V10" t="s">
        <v>231</v>
      </c>
      <c r="W10" t="s">
        <v>232</v>
      </c>
      <c r="X10" t="s">
        <v>233</v>
      </c>
      <c r="Y10" t="s">
        <v>234</v>
      </c>
      <c r="Z10" t="s">
        <v>74</v>
      </c>
      <c r="AA10" t="s">
        <v>235</v>
      </c>
      <c r="AB10" t="s">
        <v>74</v>
      </c>
      <c r="AC10" t="s">
        <v>74</v>
      </c>
      <c r="AD10" t="s">
        <v>74</v>
      </c>
      <c r="AE10" t="s">
        <v>74</v>
      </c>
      <c r="AF10" t="s">
        <v>74</v>
      </c>
      <c r="AG10">
        <v>19</v>
      </c>
      <c r="AH10">
        <v>5</v>
      </c>
      <c r="AI10">
        <v>6</v>
      </c>
      <c r="AJ10">
        <v>1</v>
      </c>
      <c r="AK10">
        <v>2</v>
      </c>
      <c r="AL10" t="s">
        <v>215</v>
      </c>
      <c r="AM10" t="s">
        <v>216</v>
      </c>
      <c r="AN10" t="s">
        <v>217</v>
      </c>
      <c r="AO10" t="s">
        <v>218</v>
      </c>
      <c r="AP10" t="s">
        <v>74</v>
      </c>
      <c r="AQ10" t="s">
        <v>74</v>
      </c>
      <c r="AR10" t="s">
        <v>219</v>
      </c>
      <c r="AS10" t="s">
        <v>220</v>
      </c>
      <c r="AT10" t="s">
        <v>221</v>
      </c>
      <c r="AU10">
        <v>2002</v>
      </c>
      <c r="AV10">
        <v>13</v>
      </c>
      <c r="AW10">
        <v>3</v>
      </c>
      <c r="AX10" t="s">
        <v>74</v>
      </c>
      <c r="AY10" t="s">
        <v>74</v>
      </c>
      <c r="AZ10" t="s">
        <v>74</v>
      </c>
      <c r="BA10" t="s">
        <v>74</v>
      </c>
      <c r="BB10">
        <v>243</v>
      </c>
      <c r="BC10">
        <v>249</v>
      </c>
      <c r="BD10" t="s">
        <v>74</v>
      </c>
      <c r="BE10" t="s">
        <v>236</v>
      </c>
      <c r="BF10" t="str">
        <f>HYPERLINK("http://dx.doi.org/10.1002/ppp.421","http://dx.doi.org/10.1002/ppp.421")</f>
        <v>http://dx.doi.org/10.1002/ppp.421</v>
      </c>
      <c r="BG10" t="s">
        <v>74</v>
      </c>
      <c r="BH10" t="s">
        <v>74</v>
      </c>
      <c r="BI10">
        <v>7</v>
      </c>
      <c r="BJ10" t="s">
        <v>223</v>
      </c>
      <c r="BK10" t="s">
        <v>170</v>
      </c>
      <c r="BL10" t="s">
        <v>224</v>
      </c>
      <c r="BM10" t="s">
        <v>225</v>
      </c>
      <c r="BN10" t="s">
        <v>74</v>
      </c>
      <c r="BO10" t="s">
        <v>173</v>
      </c>
      <c r="BP10" t="s">
        <v>74</v>
      </c>
      <c r="BQ10" t="s">
        <v>74</v>
      </c>
      <c r="BR10" t="s">
        <v>107</v>
      </c>
      <c r="BS10" t="s">
        <v>237</v>
      </c>
      <c r="BT10" t="str">
        <f>HYPERLINK("https%3A%2F%2Fwww.webofscience.com%2Fwos%2Fwoscc%2Ffull-record%2FWOS:000178843000007","View Full Record in Web of Science")</f>
        <v>View Full Record in Web of Science</v>
      </c>
    </row>
    <row r="11" spans="1:72" x14ac:dyDescent="0.15">
      <c r="A11" t="s">
        <v>72</v>
      </c>
      <c r="B11" t="s">
        <v>238</v>
      </c>
      <c r="C11" t="s">
        <v>74</v>
      </c>
      <c r="D11" t="s">
        <v>74</v>
      </c>
      <c r="E11" t="s">
        <v>74</v>
      </c>
      <c r="F11" t="s">
        <v>238</v>
      </c>
      <c r="G11" t="s">
        <v>74</v>
      </c>
      <c r="H11" t="s">
        <v>239</v>
      </c>
      <c r="I11" t="s">
        <v>240</v>
      </c>
      <c r="J11" t="s">
        <v>241</v>
      </c>
      <c r="K11" t="s">
        <v>74</v>
      </c>
      <c r="L11" t="s">
        <v>74</v>
      </c>
      <c r="M11" t="s">
        <v>77</v>
      </c>
      <c r="N11" t="s">
        <v>153</v>
      </c>
      <c r="O11" t="s">
        <v>74</v>
      </c>
      <c r="P11" t="s">
        <v>74</v>
      </c>
      <c r="Q11" t="s">
        <v>74</v>
      </c>
      <c r="R11" t="s">
        <v>74</v>
      </c>
      <c r="S11" t="s">
        <v>74</v>
      </c>
      <c r="T11" t="s">
        <v>74</v>
      </c>
      <c r="U11" t="s">
        <v>242</v>
      </c>
      <c r="V11" t="s">
        <v>243</v>
      </c>
      <c r="W11" t="s">
        <v>244</v>
      </c>
      <c r="X11" t="s">
        <v>245</v>
      </c>
      <c r="Y11" t="s">
        <v>246</v>
      </c>
      <c r="Z11" t="s">
        <v>74</v>
      </c>
      <c r="AA11" t="s">
        <v>247</v>
      </c>
      <c r="AB11" t="s">
        <v>248</v>
      </c>
      <c r="AC11" t="s">
        <v>74</v>
      </c>
      <c r="AD11" t="s">
        <v>74</v>
      </c>
      <c r="AE11" t="s">
        <v>74</v>
      </c>
      <c r="AF11" t="s">
        <v>74</v>
      </c>
      <c r="AG11">
        <v>38</v>
      </c>
      <c r="AH11">
        <v>72</v>
      </c>
      <c r="AI11">
        <v>77</v>
      </c>
      <c r="AJ11">
        <v>0</v>
      </c>
      <c r="AK11">
        <v>3</v>
      </c>
      <c r="AL11" t="s">
        <v>249</v>
      </c>
      <c r="AM11" t="s">
        <v>250</v>
      </c>
      <c r="AN11" t="s">
        <v>251</v>
      </c>
      <c r="AO11" t="s">
        <v>252</v>
      </c>
      <c r="AP11" t="s">
        <v>74</v>
      </c>
      <c r="AQ11" t="s">
        <v>74</v>
      </c>
      <c r="AR11" t="s">
        <v>253</v>
      </c>
      <c r="AS11" t="s">
        <v>254</v>
      </c>
      <c r="AT11" t="s">
        <v>97</v>
      </c>
      <c r="AU11">
        <v>2002</v>
      </c>
      <c r="AV11">
        <v>66</v>
      </c>
      <c r="AW11">
        <v>1</v>
      </c>
      <c r="AX11" t="s">
        <v>74</v>
      </c>
      <c r="AY11" t="s">
        <v>74</v>
      </c>
      <c r="AZ11" t="s">
        <v>74</v>
      </c>
      <c r="BA11" t="s">
        <v>74</v>
      </c>
      <c r="BB11" t="s">
        <v>74</v>
      </c>
      <c r="BC11" t="s">
        <v>74</v>
      </c>
      <c r="BD11">
        <v>12005</v>
      </c>
      <c r="BE11" t="s">
        <v>255</v>
      </c>
      <c r="BF11" t="str">
        <f>HYPERLINK("http://dx.doi.org/10.1103/PhysRevD.66.012005","http://dx.doi.org/10.1103/PhysRevD.66.012005")</f>
        <v>http://dx.doi.org/10.1103/PhysRevD.66.012005</v>
      </c>
      <c r="BG11" t="s">
        <v>74</v>
      </c>
      <c r="BH11" t="s">
        <v>74</v>
      </c>
      <c r="BI11">
        <v>20</v>
      </c>
      <c r="BJ11" t="s">
        <v>256</v>
      </c>
      <c r="BK11" t="s">
        <v>170</v>
      </c>
      <c r="BL11" t="s">
        <v>257</v>
      </c>
      <c r="BM11" t="s">
        <v>258</v>
      </c>
      <c r="BN11" t="s">
        <v>74</v>
      </c>
      <c r="BO11" t="s">
        <v>259</v>
      </c>
      <c r="BP11" t="s">
        <v>74</v>
      </c>
      <c r="BQ11" t="s">
        <v>74</v>
      </c>
      <c r="BR11" t="s">
        <v>107</v>
      </c>
      <c r="BS11" t="s">
        <v>260</v>
      </c>
      <c r="BT11" t="str">
        <f>HYPERLINK("https%3A%2F%2Fwww.webofscience.com%2Fwos%2Fwoscc%2Ffull-record%2FWOS:000177338600009","View Full Record in Web of Science")</f>
        <v>View Full Record in Web of Science</v>
      </c>
    </row>
    <row r="12" spans="1:72" x14ac:dyDescent="0.15">
      <c r="A12" t="s">
        <v>72</v>
      </c>
      <c r="B12" t="s">
        <v>261</v>
      </c>
      <c r="C12" t="s">
        <v>74</v>
      </c>
      <c r="D12" t="s">
        <v>74</v>
      </c>
      <c r="E12" t="s">
        <v>74</v>
      </c>
      <c r="F12" t="s">
        <v>261</v>
      </c>
      <c r="G12" t="s">
        <v>74</v>
      </c>
      <c r="H12" t="s">
        <v>74</v>
      </c>
      <c r="I12" t="s">
        <v>262</v>
      </c>
      <c r="J12" t="s">
        <v>263</v>
      </c>
      <c r="K12" t="s">
        <v>74</v>
      </c>
      <c r="L12" t="s">
        <v>74</v>
      </c>
      <c r="M12" t="s">
        <v>77</v>
      </c>
      <c r="N12" t="s">
        <v>153</v>
      </c>
      <c r="O12" t="s">
        <v>74</v>
      </c>
      <c r="P12" t="s">
        <v>74</v>
      </c>
      <c r="Q12" t="s">
        <v>74</v>
      </c>
      <c r="R12" t="s">
        <v>74</v>
      </c>
      <c r="S12" t="s">
        <v>74</v>
      </c>
      <c r="T12" t="s">
        <v>74</v>
      </c>
      <c r="U12" t="s">
        <v>264</v>
      </c>
      <c r="V12" t="s">
        <v>265</v>
      </c>
      <c r="W12" t="s">
        <v>266</v>
      </c>
      <c r="X12" t="s">
        <v>267</v>
      </c>
      <c r="Y12" t="s">
        <v>268</v>
      </c>
      <c r="Z12" t="s">
        <v>269</v>
      </c>
      <c r="AA12" t="s">
        <v>74</v>
      </c>
      <c r="AB12" t="s">
        <v>270</v>
      </c>
      <c r="AC12" t="s">
        <v>74</v>
      </c>
      <c r="AD12" t="s">
        <v>74</v>
      </c>
      <c r="AE12" t="s">
        <v>74</v>
      </c>
      <c r="AF12" t="s">
        <v>74</v>
      </c>
      <c r="AG12">
        <v>81</v>
      </c>
      <c r="AH12">
        <v>12</v>
      </c>
      <c r="AI12">
        <v>15</v>
      </c>
      <c r="AJ12">
        <v>2</v>
      </c>
      <c r="AK12">
        <v>14</v>
      </c>
      <c r="AL12" t="s">
        <v>194</v>
      </c>
      <c r="AM12" t="s">
        <v>195</v>
      </c>
      <c r="AN12" t="s">
        <v>271</v>
      </c>
      <c r="AO12" t="s">
        <v>272</v>
      </c>
      <c r="AP12" t="s">
        <v>273</v>
      </c>
      <c r="AQ12" t="s">
        <v>74</v>
      </c>
      <c r="AR12" t="s">
        <v>274</v>
      </c>
      <c r="AS12" t="s">
        <v>275</v>
      </c>
      <c r="AT12" t="s">
        <v>201</v>
      </c>
      <c r="AU12">
        <v>2002</v>
      </c>
      <c r="AV12">
        <v>25</v>
      </c>
      <c r="AW12">
        <v>7</v>
      </c>
      <c r="AX12" t="s">
        <v>74</v>
      </c>
      <c r="AY12" t="s">
        <v>74</v>
      </c>
      <c r="AZ12" t="s">
        <v>74</v>
      </c>
      <c r="BA12" t="s">
        <v>74</v>
      </c>
      <c r="BB12">
        <v>479</v>
      </c>
      <c r="BC12">
        <v>487</v>
      </c>
      <c r="BD12" t="s">
        <v>74</v>
      </c>
      <c r="BE12" t="s">
        <v>276</v>
      </c>
      <c r="BF12" t="str">
        <f>HYPERLINK("http://dx.doi.org/10.1007/s00300-002-0370-2","http://dx.doi.org/10.1007/s00300-002-0370-2")</f>
        <v>http://dx.doi.org/10.1007/s00300-002-0370-2</v>
      </c>
      <c r="BG12" t="s">
        <v>74</v>
      </c>
      <c r="BH12" t="s">
        <v>74</v>
      </c>
      <c r="BI12">
        <v>9</v>
      </c>
      <c r="BJ12" t="s">
        <v>277</v>
      </c>
      <c r="BK12" t="s">
        <v>170</v>
      </c>
      <c r="BL12" t="s">
        <v>278</v>
      </c>
      <c r="BM12" t="s">
        <v>279</v>
      </c>
      <c r="BN12" t="s">
        <v>74</v>
      </c>
      <c r="BO12" t="s">
        <v>74</v>
      </c>
      <c r="BP12" t="s">
        <v>74</v>
      </c>
      <c r="BQ12" t="s">
        <v>74</v>
      </c>
      <c r="BR12" t="s">
        <v>107</v>
      </c>
      <c r="BS12" t="s">
        <v>280</v>
      </c>
      <c r="BT12" t="str">
        <f>HYPERLINK("https%3A%2F%2Fwww.webofscience.com%2Fwos%2Fwoscc%2Ffull-record%2FWOS:000176777800001","View Full Record in Web of Science")</f>
        <v>View Full Record in Web of Science</v>
      </c>
    </row>
    <row r="13" spans="1:72" x14ac:dyDescent="0.15">
      <c r="A13" t="s">
        <v>72</v>
      </c>
      <c r="B13" t="s">
        <v>281</v>
      </c>
      <c r="C13" t="s">
        <v>74</v>
      </c>
      <c r="D13" t="s">
        <v>74</v>
      </c>
      <c r="E13" t="s">
        <v>74</v>
      </c>
      <c r="F13" t="s">
        <v>281</v>
      </c>
      <c r="G13" t="s">
        <v>74</v>
      </c>
      <c r="H13" t="s">
        <v>74</v>
      </c>
      <c r="I13" t="s">
        <v>282</v>
      </c>
      <c r="J13" t="s">
        <v>263</v>
      </c>
      <c r="K13" t="s">
        <v>74</v>
      </c>
      <c r="L13" t="s">
        <v>74</v>
      </c>
      <c r="M13" t="s">
        <v>77</v>
      </c>
      <c r="N13" t="s">
        <v>153</v>
      </c>
      <c r="O13" t="s">
        <v>74</v>
      </c>
      <c r="P13" t="s">
        <v>74</v>
      </c>
      <c r="Q13" t="s">
        <v>74</v>
      </c>
      <c r="R13" t="s">
        <v>74</v>
      </c>
      <c r="S13" t="s">
        <v>74</v>
      </c>
      <c r="T13" t="s">
        <v>74</v>
      </c>
      <c r="U13" t="s">
        <v>283</v>
      </c>
      <c r="V13" t="s">
        <v>284</v>
      </c>
      <c r="W13" t="s">
        <v>285</v>
      </c>
      <c r="X13" t="s">
        <v>286</v>
      </c>
      <c r="Y13" t="s">
        <v>287</v>
      </c>
      <c r="Z13" t="s">
        <v>74</v>
      </c>
      <c r="AA13" t="s">
        <v>288</v>
      </c>
      <c r="AB13" t="s">
        <v>289</v>
      </c>
      <c r="AC13" t="s">
        <v>74</v>
      </c>
      <c r="AD13" t="s">
        <v>74</v>
      </c>
      <c r="AE13" t="s">
        <v>74</v>
      </c>
      <c r="AF13" t="s">
        <v>74</v>
      </c>
      <c r="AG13">
        <v>13</v>
      </c>
      <c r="AH13">
        <v>23</v>
      </c>
      <c r="AI13">
        <v>29</v>
      </c>
      <c r="AJ13">
        <v>0</v>
      </c>
      <c r="AK13">
        <v>10</v>
      </c>
      <c r="AL13" t="s">
        <v>290</v>
      </c>
      <c r="AM13" t="s">
        <v>195</v>
      </c>
      <c r="AN13" t="s">
        <v>291</v>
      </c>
      <c r="AO13" t="s">
        <v>272</v>
      </c>
      <c r="AP13" t="s">
        <v>74</v>
      </c>
      <c r="AQ13" t="s">
        <v>74</v>
      </c>
      <c r="AR13" t="s">
        <v>274</v>
      </c>
      <c r="AS13" t="s">
        <v>275</v>
      </c>
      <c r="AT13" t="s">
        <v>201</v>
      </c>
      <c r="AU13">
        <v>2002</v>
      </c>
      <c r="AV13">
        <v>25</v>
      </c>
      <c r="AW13">
        <v>7</v>
      </c>
      <c r="AX13" t="s">
        <v>74</v>
      </c>
      <c r="AY13" t="s">
        <v>74</v>
      </c>
      <c r="AZ13" t="s">
        <v>74</v>
      </c>
      <c r="BA13" t="s">
        <v>74</v>
      </c>
      <c r="BB13">
        <v>488</v>
      </c>
      <c r="BC13">
        <v>491</v>
      </c>
      <c r="BD13" t="s">
        <v>74</v>
      </c>
      <c r="BE13" t="s">
        <v>292</v>
      </c>
      <c r="BF13" t="str">
        <f>HYPERLINK("http://dx.doi.org/10.1007/s00300-002-0369-8","http://dx.doi.org/10.1007/s00300-002-0369-8")</f>
        <v>http://dx.doi.org/10.1007/s00300-002-0369-8</v>
      </c>
      <c r="BG13" t="s">
        <v>74</v>
      </c>
      <c r="BH13" t="s">
        <v>74</v>
      </c>
      <c r="BI13">
        <v>4</v>
      </c>
      <c r="BJ13" t="s">
        <v>277</v>
      </c>
      <c r="BK13" t="s">
        <v>170</v>
      </c>
      <c r="BL13" t="s">
        <v>278</v>
      </c>
      <c r="BM13" t="s">
        <v>279</v>
      </c>
      <c r="BN13" t="s">
        <v>74</v>
      </c>
      <c r="BO13" t="s">
        <v>74</v>
      </c>
      <c r="BP13" t="s">
        <v>74</v>
      </c>
      <c r="BQ13" t="s">
        <v>74</v>
      </c>
      <c r="BR13" t="s">
        <v>107</v>
      </c>
      <c r="BS13" t="s">
        <v>293</v>
      </c>
      <c r="BT13" t="str">
        <f>HYPERLINK("https%3A%2F%2Fwww.webofscience.com%2Fwos%2Fwoscc%2Ffull-record%2FWOS:000176777800002","View Full Record in Web of Science")</f>
        <v>View Full Record in Web of Science</v>
      </c>
    </row>
    <row r="14" spans="1:72" x14ac:dyDescent="0.15">
      <c r="A14" t="s">
        <v>72</v>
      </c>
      <c r="B14" t="s">
        <v>294</v>
      </c>
      <c r="C14" t="s">
        <v>74</v>
      </c>
      <c r="D14" t="s">
        <v>74</v>
      </c>
      <c r="E14" t="s">
        <v>74</v>
      </c>
      <c r="F14" t="s">
        <v>294</v>
      </c>
      <c r="G14" t="s">
        <v>74</v>
      </c>
      <c r="H14" t="s">
        <v>74</v>
      </c>
      <c r="I14" t="s">
        <v>295</v>
      </c>
      <c r="J14" t="s">
        <v>263</v>
      </c>
      <c r="K14" t="s">
        <v>74</v>
      </c>
      <c r="L14" t="s">
        <v>74</v>
      </c>
      <c r="M14" t="s">
        <v>77</v>
      </c>
      <c r="N14" t="s">
        <v>153</v>
      </c>
      <c r="O14" t="s">
        <v>74</v>
      </c>
      <c r="P14" t="s">
        <v>74</v>
      </c>
      <c r="Q14" t="s">
        <v>74</v>
      </c>
      <c r="R14" t="s">
        <v>74</v>
      </c>
      <c r="S14" t="s">
        <v>74</v>
      </c>
      <c r="T14" t="s">
        <v>74</v>
      </c>
      <c r="U14" t="s">
        <v>296</v>
      </c>
      <c r="V14" t="s">
        <v>297</v>
      </c>
      <c r="W14" t="s">
        <v>298</v>
      </c>
      <c r="X14" t="s">
        <v>299</v>
      </c>
      <c r="Y14" t="s">
        <v>300</v>
      </c>
      <c r="Z14" t="s">
        <v>301</v>
      </c>
      <c r="AA14" t="s">
        <v>302</v>
      </c>
      <c r="AB14" t="s">
        <v>303</v>
      </c>
      <c r="AC14" t="s">
        <v>74</v>
      </c>
      <c r="AD14" t="s">
        <v>74</v>
      </c>
      <c r="AE14" t="s">
        <v>74</v>
      </c>
      <c r="AF14" t="s">
        <v>74</v>
      </c>
      <c r="AG14">
        <v>25</v>
      </c>
      <c r="AH14">
        <v>5</v>
      </c>
      <c r="AI14">
        <v>5</v>
      </c>
      <c r="AJ14">
        <v>0</v>
      </c>
      <c r="AK14">
        <v>1</v>
      </c>
      <c r="AL14" t="s">
        <v>194</v>
      </c>
      <c r="AM14" t="s">
        <v>195</v>
      </c>
      <c r="AN14" t="s">
        <v>271</v>
      </c>
      <c r="AO14" t="s">
        <v>272</v>
      </c>
      <c r="AP14" t="s">
        <v>273</v>
      </c>
      <c r="AQ14" t="s">
        <v>74</v>
      </c>
      <c r="AR14" t="s">
        <v>274</v>
      </c>
      <c r="AS14" t="s">
        <v>275</v>
      </c>
      <c r="AT14" t="s">
        <v>201</v>
      </c>
      <c r="AU14">
        <v>2002</v>
      </c>
      <c r="AV14">
        <v>25</v>
      </c>
      <c r="AW14">
        <v>7</v>
      </c>
      <c r="AX14" t="s">
        <v>74</v>
      </c>
      <c r="AY14" t="s">
        <v>74</v>
      </c>
      <c r="AZ14" t="s">
        <v>74</v>
      </c>
      <c r="BA14" t="s">
        <v>74</v>
      </c>
      <c r="BB14">
        <v>492</v>
      </c>
      <c r="BC14">
        <v>499</v>
      </c>
      <c r="BD14" t="s">
        <v>74</v>
      </c>
      <c r="BE14" t="s">
        <v>304</v>
      </c>
      <c r="BF14" t="str">
        <f>HYPERLINK("http://dx.doi.org/10.1007/s00300-002-0381-z","http://dx.doi.org/10.1007/s00300-002-0381-z")</f>
        <v>http://dx.doi.org/10.1007/s00300-002-0381-z</v>
      </c>
      <c r="BG14" t="s">
        <v>74</v>
      </c>
      <c r="BH14" t="s">
        <v>74</v>
      </c>
      <c r="BI14">
        <v>8</v>
      </c>
      <c r="BJ14" t="s">
        <v>277</v>
      </c>
      <c r="BK14" t="s">
        <v>170</v>
      </c>
      <c r="BL14" t="s">
        <v>278</v>
      </c>
      <c r="BM14" t="s">
        <v>279</v>
      </c>
      <c r="BN14" t="s">
        <v>74</v>
      </c>
      <c r="BO14" t="s">
        <v>74</v>
      </c>
      <c r="BP14" t="s">
        <v>74</v>
      </c>
      <c r="BQ14" t="s">
        <v>74</v>
      </c>
      <c r="BR14" t="s">
        <v>107</v>
      </c>
      <c r="BS14" t="s">
        <v>305</v>
      </c>
      <c r="BT14" t="str">
        <f>HYPERLINK("https%3A%2F%2Fwww.webofscience.com%2Fwos%2Fwoscc%2Ffull-record%2FWOS:000176777800003","View Full Record in Web of Science")</f>
        <v>View Full Record in Web of Science</v>
      </c>
    </row>
    <row r="15" spans="1:72" x14ac:dyDescent="0.15">
      <c r="A15" t="s">
        <v>72</v>
      </c>
      <c r="B15" t="s">
        <v>306</v>
      </c>
      <c r="C15" t="s">
        <v>74</v>
      </c>
      <c r="D15" t="s">
        <v>74</v>
      </c>
      <c r="E15" t="s">
        <v>74</v>
      </c>
      <c r="F15" t="s">
        <v>306</v>
      </c>
      <c r="G15" t="s">
        <v>74</v>
      </c>
      <c r="H15" t="s">
        <v>74</v>
      </c>
      <c r="I15" t="s">
        <v>307</v>
      </c>
      <c r="J15" t="s">
        <v>263</v>
      </c>
      <c r="K15" t="s">
        <v>74</v>
      </c>
      <c r="L15" t="s">
        <v>74</v>
      </c>
      <c r="M15" t="s">
        <v>77</v>
      </c>
      <c r="N15" t="s">
        <v>153</v>
      </c>
      <c r="O15" t="s">
        <v>74</v>
      </c>
      <c r="P15" t="s">
        <v>74</v>
      </c>
      <c r="Q15" t="s">
        <v>74</v>
      </c>
      <c r="R15" t="s">
        <v>74</v>
      </c>
      <c r="S15" t="s">
        <v>74</v>
      </c>
      <c r="T15" t="s">
        <v>74</v>
      </c>
      <c r="U15" t="s">
        <v>308</v>
      </c>
      <c r="V15" t="s">
        <v>309</v>
      </c>
      <c r="W15" t="s">
        <v>310</v>
      </c>
      <c r="X15" t="s">
        <v>311</v>
      </c>
      <c r="Y15" t="s">
        <v>312</v>
      </c>
      <c r="Z15" t="s">
        <v>313</v>
      </c>
      <c r="AA15" t="s">
        <v>314</v>
      </c>
      <c r="AB15" t="s">
        <v>315</v>
      </c>
      <c r="AC15" t="s">
        <v>74</v>
      </c>
      <c r="AD15" t="s">
        <v>74</v>
      </c>
      <c r="AE15" t="s">
        <v>74</v>
      </c>
      <c r="AF15" t="s">
        <v>74</v>
      </c>
      <c r="AG15">
        <v>27</v>
      </c>
      <c r="AH15">
        <v>19</v>
      </c>
      <c r="AI15">
        <v>23</v>
      </c>
      <c r="AJ15">
        <v>0</v>
      </c>
      <c r="AK15">
        <v>4</v>
      </c>
      <c r="AL15" t="s">
        <v>194</v>
      </c>
      <c r="AM15" t="s">
        <v>195</v>
      </c>
      <c r="AN15" t="s">
        <v>271</v>
      </c>
      <c r="AO15" t="s">
        <v>272</v>
      </c>
      <c r="AP15" t="s">
        <v>273</v>
      </c>
      <c r="AQ15" t="s">
        <v>74</v>
      </c>
      <c r="AR15" t="s">
        <v>274</v>
      </c>
      <c r="AS15" t="s">
        <v>275</v>
      </c>
      <c r="AT15" t="s">
        <v>201</v>
      </c>
      <c r="AU15">
        <v>2002</v>
      </c>
      <c r="AV15">
        <v>25</v>
      </c>
      <c r="AW15">
        <v>7</v>
      </c>
      <c r="AX15" t="s">
        <v>74</v>
      </c>
      <c r="AY15" t="s">
        <v>74</v>
      </c>
      <c r="AZ15" t="s">
        <v>74</v>
      </c>
      <c r="BA15" t="s">
        <v>74</v>
      </c>
      <c r="BB15">
        <v>500</v>
      </c>
      <c r="BC15">
        <v>505</v>
      </c>
      <c r="BD15" t="s">
        <v>74</v>
      </c>
      <c r="BE15" t="s">
        <v>316</v>
      </c>
      <c r="BF15" t="str">
        <f>HYPERLINK("http://dx.doi.org/10.1007/s00300-002-0371-1","http://dx.doi.org/10.1007/s00300-002-0371-1")</f>
        <v>http://dx.doi.org/10.1007/s00300-002-0371-1</v>
      </c>
      <c r="BG15" t="s">
        <v>74</v>
      </c>
      <c r="BH15" t="s">
        <v>74</v>
      </c>
      <c r="BI15">
        <v>6</v>
      </c>
      <c r="BJ15" t="s">
        <v>277</v>
      </c>
      <c r="BK15" t="s">
        <v>170</v>
      </c>
      <c r="BL15" t="s">
        <v>278</v>
      </c>
      <c r="BM15" t="s">
        <v>279</v>
      </c>
      <c r="BN15" t="s">
        <v>74</v>
      </c>
      <c r="BO15" t="s">
        <v>74</v>
      </c>
      <c r="BP15" t="s">
        <v>74</v>
      </c>
      <c r="BQ15" t="s">
        <v>74</v>
      </c>
      <c r="BR15" t="s">
        <v>107</v>
      </c>
      <c r="BS15" t="s">
        <v>317</v>
      </c>
      <c r="BT15" t="str">
        <f>HYPERLINK("https%3A%2F%2Fwww.webofscience.com%2Fwos%2Fwoscc%2Ffull-record%2FWOS:000176777800004","View Full Record in Web of Science")</f>
        <v>View Full Record in Web of Science</v>
      </c>
    </row>
    <row r="16" spans="1:72" x14ac:dyDescent="0.15">
      <c r="A16" t="s">
        <v>72</v>
      </c>
      <c r="B16" t="s">
        <v>318</v>
      </c>
      <c r="C16" t="s">
        <v>74</v>
      </c>
      <c r="D16" t="s">
        <v>74</v>
      </c>
      <c r="E16" t="s">
        <v>74</v>
      </c>
      <c r="F16" t="s">
        <v>318</v>
      </c>
      <c r="G16" t="s">
        <v>74</v>
      </c>
      <c r="H16" t="s">
        <v>74</v>
      </c>
      <c r="I16" t="s">
        <v>319</v>
      </c>
      <c r="J16" t="s">
        <v>263</v>
      </c>
      <c r="K16" t="s">
        <v>74</v>
      </c>
      <c r="L16" t="s">
        <v>74</v>
      </c>
      <c r="M16" t="s">
        <v>77</v>
      </c>
      <c r="N16" t="s">
        <v>153</v>
      </c>
      <c r="O16" t="s">
        <v>74</v>
      </c>
      <c r="P16" t="s">
        <v>74</v>
      </c>
      <c r="Q16" t="s">
        <v>74</v>
      </c>
      <c r="R16" t="s">
        <v>74</v>
      </c>
      <c r="S16" t="s">
        <v>74</v>
      </c>
      <c r="T16" t="s">
        <v>74</v>
      </c>
      <c r="U16" t="s">
        <v>320</v>
      </c>
      <c r="V16" t="s">
        <v>321</v>
      </c>
      <c r="W16" t="s">
        <v>322</v>
      </c>
      <c r="X16" t="s">
        <v>323</v>
      </c>
      <c r="Y16" t="s">
        <v>324</v>
      </c>
      <c r="Z16" t="s">
        <v>74</v>
      </c>
      <c r="AA16" t="s">
        <v>325</v>
      </c>
      <c r="AB16" t="s">
        <v>326</v>
      </c>
      <c r="AC16" t="s">
        <v>74</v>
      </c>
      <c r="AD16" t="s">
        <v>74</v>
      </c>
      <c r="AE16" t="s">
        <v>74</v>
      </c>
      <c r="AF16" t="s">
        <v>74</v>
      </c>
      <c r="AG16">
        <v>33</v>
      </c>
      <c r="AH16">
        <v>0</v>
      </c>
      <c r="AI16">
        <v>0</v>
      </c>
      <c r="AJ16">
        <v>0</v>
      </c>
      <c r="AK16">
        <v>3</v>
      </c>
      <c r="AL16" t="s">
        <v>290</v>
      </c>
      <c r="AM16" t="s">
        <v>195</v>
      </c>
      <c r="AN16" t="s">
        <v>291</v>
      </c>
      <c r="AO16" t="s">
        <v>272</v>
      </c>
      <c r="AP16" t="s">
        <v>74</v>
      </c>
      <c r="AQ16" t="s">
        <v>74</v>
      </c>
      <c r="AR16" t="s">
        <v>274</v>
      </c>
      <c r="AS16" t="s">
        <v>275</v>
      </c>
      <c r="AT16" t="s">
        <v>201</v>
      </c>
      <c r="AU16">
        <v>2002</v>
      </c>
      <c r="AV16">
        <v>25</v>
      </c>
      <c r="AW16">
        <v>7</v>
      </c>
      <c r="AX16" t="s">
        <v>74</v>
      </c>
      <c r="AY16" t="s">
        <v>74</v>
      </c>
      <c r="AZ16" t="s">
        <v>74</v>
      </c>
      <c r="BA16" t="s">
        <v>74</v>
      </c>
      <c r="BB16">
        <v>506</v>
      </c>
      <c r="BC16">
        <v>511</v>
      </c>
      <c r="BD16" t="s">
        <v>74</v>
      </c>
      <c r="BE16" t="s">
        <v>327</v>
      </c>
      <c r="BF16" t="str">
        <f>HYPERLINK("http://dx.doi.org/10.1007/s00300-002-0384-9","http://dx.doi.org/10.1007/s00300-002-0384-9")</f>
        <v>http://dx.doi.org/10.1007/s00300-002-0384-9</v>
      </c>
      <c r="BG16" t="s">
        <v>74</v>
      </c>
      <c r="BH16" t="s">
        <v>74</v>
      </c>
      <c r="BI16">
        <v>6</v>
      </c>
      <c r="BJ16" t="s">
        <v>277</v>
      </c>
      <c r="BK16" t="s">
        <v>170</v>
      </c>
      <c r="BL16" t="s">
        <v>278</v>
      </c>
      <c r="BM16" t="s">
        <v>279</v>
      </c>
      <c r="BN16" t="s">
        <v>74</v>
      </c>
      <c r="BO16" t="s">
        <v>74</v>
      </c>
      <c r="BP16" t="s">
        <v>74</v>
      </c>
      <c r="BQ16" t="s">
        <v>74</v>
      </c>
      <c r="BR16" t="s">
        <v>107</v>
      </c>
      <c r="BS16" t="s">
        <v>328</v>
      </c>
      <c r="BT16" t="str">
        <f>HYPERLINK("https%3A%2F%2Fwww.webofscience.com%2Fwos%2Fwoscc%2Ffull-record%2FWOS:000176777800005","View Full Record in Web of Science")</f>
        <v>View Full Record in Web of Science</v>
      </c>
    </row>
    <row r="17" spans="1:72" x14ac:dyDescent="0.15">
      <c r="A17" t="s">
        <v>72</v>
      </c>
      <c r="B17" t="s">
        <v>329</v>
      </c>
      <c r="C17" t="s">
        <v>74</v>
      </c>
      <c r="D17" t="s">
        <v>74</v>
      </c>
      <c r="E17" t="s">
        <v>74</v>
      </c>
      <c r="F17" t="s">
        <v>329</v>
      </c>
      <c r="G17" t="s">
        <v>74</v>
      </c>
      <c r="H17" t="s">
        <v>74</v>
      </c>
      <c r="I17" t="s">
        <v>330</v>
      </c>
      <c r="J17" t="s">
        <v>263</v>
      </c>
      <c r="K17" t="s">
        <v>74</v>
      </c>
      <c r="L17" t="s">
        <v>74</v>
      </c>
      <c r="M17" t="s">
        <v>77</v>
      </c>
      <c r="N17" t="s">
        <v>153</v>
      </c>
      <c r="O17" t="s">
        <v>74</v>
      </c>
      <c r="P17" t="s">
        <v>74</v>
      </c>
      <c r="Q17" t="s">
        <v>74</v>
      </c>
      <c r="R17" t="s">
        <v>74</v>
      </c>
      <c r="S17" t="s">
        <v>74</v>
      </c>
      <c r="T17" t="s">
        <v>74</v>
      </c>
      <c r="U17" t="s">
        <v>331</v>
      </c>
      <c r="V17" t="s">
        <v>332</v>
      </c>
      <c r="W17" t="s">
        <v>333</v>
      </c>
      <c r="X17" t="s">
        <v>334</v>
      </c>
      <c r="Y17" t="s">
        <v>335</v>
      </c>
      <c r="Z17" t="s">
        <v>336</v>
      </c>
      <c r="AA17" t="s">
        <v>337</v>
      </c>
      <c r="AB17" t="s">
        <v>338</v>
      </c>
      <c r="AC17" t="s">
        <v>74</v>
      </c>
      <c r="AD17" t="s">
        <v>74</v>
      </c>
      <c r="AE17" t="s">
        <v>74</v>
      </c>
      <c r="AF17" t="s">
        <v>74</v>
      </c>
      <c r="AG17">
        <v>22</v>
      </c>
      <c r="AH17">
        <v>1</v>
      </c>
      <c r="AI17">
        <v>1</v>
      </c>
      <c r="AJ17">
        <v>0</v>
      </c>
      <c r="AK17">
        <v>4</v>
      </c>
      <c r="AL17" t="s">
        <v>194</v>
      </c>
      <c r="AM17" t="s">
        <v>195</v>
      </c>
      <c r="AN17" t="s">
        <v>271</v>
      </c>
      <c r="AO17" t="s">
        <v>272</v>
      </c>
      <c r="AP17" t="s">
        <v>273</v>
      </c>
      <c r="AQ17" t="s">
        <v>74</v>
      </c>
      <c r="AR17" t="s">
        <v>274</v>
      </c>
      <c r="AS17" t="s">
        <v>275</v>
      </c>
      <c r="AT17" t="s">
        <v>201</v>
      </c>
      <c r="AU17">
        <v>2002</v>
      </c>
      <c r="AV17">
        <v>25</v>
      </c>
      <c r="AW17">
        <v>7</v>
      </c>
      <c r="AX17" t="s">
        <v>74</v>
      </c>
      <c r="AY17" t="s">
        <v>74</v>
      </c>
      <c r="AZ17" t="s">
        <v>74</v>
      </c>
      <c r="BA17" t="s">
        <v>74</v>
      </c>
      <c r="BB17">
        <v>512</v>
      </c>
      <c r="BC17">
        <v>516</v>
      </c>
      <c r="BD17" t="s">
        <v>74</v>
      </c>
      <c r="BE17" t="s">
        <v>339</v>
      </c>
      <c r="BF17" t="str">
        <f>HYPERLINK("http://dx.doi.org/10.1007/s00300-002-0367-x","http://dx.doi.org/10.1007/s00300-002-0367-x")</f>
        <v>http://dx.doi.org/10.1007/s00300-002-0367-x</v>
      </c>
      <c r="BG17" t="s">
        <v>74</v>
      </c>
      <c r="BH17" t="s">
        <v>74</v>
      </c>
      <c r="BI17">
        <v>5</v>
      </c>
      <c r="BJ17" t="s">
        <v>277</v>
      </c>
      <c r="BK17" t="s">
        <v>170</v>
      </c>
      <c r="BL17" t="s">
        <v>278</v>
      </c>
      <c r="BM17" t="s">
        <v>279</v>
      </c>
      <c r="BN17" t="s">
        <v>74</v>
      </c>
      <c r="BO17" t="s">
        <v>74</v>
      </c>
      <c r="BP17" t="s">
        <v>74</v>
      </c>
      <c r="BQ17" t="s">
        <v>74</v>
      </c>
      <c r="BR17" t="s">
        <v>107</v>
      </c>
      <c r="BS17" t="s">
        <v>340</v>
      </c>
      <c r="BT17" t="str">
        <f>HYPERLINK("https%3A%2F%2Fwww.webofscience.com%2Fwos%2Fwoscc%2Ffull-record%2FWOS:000176777800006","View Full Record in Web of Science")</f>
        <v>View Full Record in Web of Science</v>
      </c>
    </row>
    <row r="18" spans="1:72" x14ac:dyDescent="0.15">
      <c r="A18" t="s">
        <v>72</v>
      </c>
      <c r="B18" t="s">
        <v>341</v>
      </c>
      <c r="C18" t="s">
        <v>74</v>
      </c>
      <c r="D18" t="s">
        <v>74</v>
      </c>
      <c r="E18" t="s">
        <v>74</v>
      </c>
      <c r="F18" t="s">
        <v>341</v>
      </c>
      <c r="G18" t="s">
        <v>74</v>
      </c>
      <c r="H18" t="s">
        <v>74</v>
      </c>
      <c r="I18" t="s">
        <v>342</v>
      </c>
      <c r="J18" t="s">
        <v>263</v>
      </c>
      <c r="K18" t="s">
        <v>74</v>
      </c>
      <c r="L18" t="s">
        <v>74</v>
      </c>
      <c r="M18" t="s">
        <v>77</v>
      </c>
      <c r="N18" t="s">
        <v>153</v>
      </c>
      <c r="O18" t="s">
        <v>74</v>
      </c>
      <c r="P18" t="s">
        <v>74</v>
      </c>
      <c r="Q18" t="s">
        <v>74</v>
      </c>
      <c r="R18" t="s">
        <v>74</v>
      </c>
      <c r="S18" t="s">
        <v>74</v>
      </c>
      <c r="T18" t="s">
        <v>74</v>
      </c>
      <c r="U18" t="s">
        <v>343</v>
      </c>
      <c r="V18" t="s">
        <v>344</v>
      </c>
      <c r="W18" t="s">
        <v>345</v>
      </c>
      <c r="X18" t="s">
        <v>346</v>
      </c>
      <c r="Y18" t="s">
        <v>347</v>
      </c>
      <c r="Z18" t="s">
        <v>74</v>
      </c>
      <c r="AA18" t="s">
        <v>74</v>
      </c>
      <c r="AB18" t="s">
        <v>74</v>
      </c>
      <c r="AC18" t="s">
        <v>74</v>
      </c>
      <c r="AD18" t="s">
        <v>74</v>
      </c>
      <c r="AE18" t="s">
        <v>74</v>
      </c>
      <c r="AF18" t="s">
        <v>74</v>
      </c>
      <c r="AG18">
        <v>14</v>
      </c>
      <c r="AH18">
        <v>20</v>
      </c>
      <c r="AI18">
        <v>21</v>
      </c>
      <c r="AJ18">
        <v>0</v>
      </c>
      <c r="AK18">
        <v>10</v>
      </c>
      <c r="AL18" t="s">
        <v>290</v>
      </c>
      <c r="AM18" t="s">
        <v>195</v>
      </c>
      <c r="AN18" t="s">
        <v>291</v>
      </c>
      <c r="AO18" t="s">
        <v>272</v>
      </c>
      <c r="AP18" t="s">
        <v>74</v>
      </c>
      <c r="AQ18" t="s">
        <v>74</v>
      </c>
      <c r="AR18" t="s">
        <v>274</v>
      </c>
      <c r="AS18" t="s">
        <v>275</v>
      </c>
      <c r="AT18" t="s">
        <v>201</v>
      </c>
      <c r="AU18">
        <v>2002</v>
      </c>
      <c r="AV18">
        <v>25</v>
      </c>
      <c r="AW18">
        <v>7</v>
      </c>
      <c r="AX18" t="s">
        <v>74</v>
      </c>
      <c r="AY18" t="s">
        <v>74</v>
      </c>
      <c r="AZ18" t="s">
        <v>74</v>
      </c>
      <c r="BA18" t="s">
        <v>74</v>
      </c>
      <c r="BB18">
        <v>517</v>
      </c>
      <c r="BC18">
        <v>522</v>
      </c>
      <c r="BD18" t="s">
        <v>74</v>
      </c>
      <c r="BE18" t="s">
        <v>348</v>
      </c>
      <c r="BF18" t="str">
        <f>HYPERLINK("http://dx.doi.org/10.1007/s00300-002-0375-x","http://dx.doi.org/10.1007/s00300-002-0375-x")</f>
        <v>http://dx.doi.org/10.1007/s00300-002-0375-x</v>
      </c>
      <c r="BG18" t="s">
        <v>74</v>
      </c>
      <c r="BH18" t="s">
        <v>74</v>
      </c>
      <c r="BI18">
        <v>6</v>
      </c>
      <c r="BJ18" t="s">
        <v>277</v>
      </c>
      <c r="BK18" t="s">
        <v>170</v>
      </c>
      <c r="BL18" t="s">
        <v>278</v>
      </c>
      <c r="BM18" t="s">
        <v>279</v>
      </c>
      <c r="BN18" t="s">
        <v>74</v>
      </c>
      <c r="BO18" t="s">
        <v>74</v>
      </c>
      <c r="BP18" t="s">
        <v>74</v>
      </c>
      <c r="BQ18" t="s">
        <v>74</v>
      </c>
      <c r="BR18" t="s">
        <v>107</v>
      </c>
      <c r="BS18" t="s">
        <v>349</v>
      </c>
      <c r="BT18" t="str">
        <f>HYPERLINK("https%3A%2F%2Fwww.webofscience.com%2Fwos%2Fwoscc%2Ffull-record%2FWOS:000176777800007","View Full Record in Web of Science")</f>
        <v>View Full Record in Web of Science</v>
      </c>
    </row>
    <row r="19" spans="1:72" x14ac:dyDescent="0.15">
      <c r="A19" t="s">
        <v>72</v>
      </c>
      <c r="B19" t="s">
        <v>350</v>
      </c>
      <c r="C19" t="s">
        <v>74</v>
      </c>
      <c r="D19" t="s">
        <v>74</v>
      </c>
      <c r="E19" t="s">
        <v>74</v>
      </c>
      <c r="F19" t="s">
        <v>350</v>
      </c>
      <c r="G19" t="s">
        <v>74</v>
      </c>
      <c r="H19" t="s">
        <v>74</v>
      </c>
      <c r="I19" t="s">
        <v>351</v>
      </c>
      <c r="J19" t="s">
        <v>263</v>
      </c>
      <c r="K19" t="s">
        <v>74</v>
      </c>
      <c r="L19" t="s">
        <v>74</v>
      </c>
      <c r="M19" t="s">
        <v>77</v>
      </c>
      <c r="N19" t="s">
        <v>153</v>
      </c>
      <c r="O19" t="s">
        <v>74</v>
      </c>
      <c r="P19" t="s">
        <v>74</v>
      </c>
      <c r="Q19" t="s">
        <v>74</v>
      </c>
      <c r="R19" t="s">
        <v>74</v>
      </c>
      <c r="S19" t="s">
        <v>74</v>
      </c>
      <c r="T19" t="s">
        <v>74</v>
      </c>
      <c r="U19" t="s">
        <v>352</v>
      </c>
      <c r="V19" t="s">
        <v>353</v>
      </c>
      <c r="W19" t="s">
        <v>354</v>
      </c>
      <c r="X19" t="s">
        <v>355</v>
      </c>
      <c r="Y19" t="s">
        <v>356</v>
      </c>
      <c r="Z19" t="s">
        <v>74</v>
      </c>
      <c r="AA19" t="s">
        <v>357</v>
      </c>
      <c r="AB19" t="s">
        <v>358</v>
      </c>
      <c r="AC19" t="s">
        <v>74</v>
      </c>
      <c r="AD19" t="s">
        <v>74</v>
      </c>
      <c r="AE19" t="s">
        <v>74</v>
      </c>
      <c r="AF19" t="s">
        <v>74</v>
      </c>
      <c r="AG19">
        <v>15</v>
      </c>
      <c r="AH19">
        <v>20</v>
      </c>
      <c r="AI19">
        <v>22</v>
      </c>
      <c r="AJ19">
        <v>1</v>
      </c>
      <c r="AK19">
        <v>9</v>
      </c>
      <c r="AL19" t="s">
        <v>290</v>
      </c>
      <c r="AM19" t="s">
        <v>195</v>
      </c>
      <c r="AN19" t="s">
        <v>291</v>
      </c>
      <c r="AO19" t="s">
        <v>272</v>
      </c>
      <c r="AP19" t="s">
        <v>74</v>
      </c>
      <c r="AQ19" t="s">
        <v>74</v>
      </c>
      <c r="AR19" t="s">
        <v>274</v>
      </c>
      <c r="AS19" t="s">
        <v>275</v>
      </c>
      <c r="AT19" t="s">
        <v>201</v>
      </c>
      <c r="AU19">
        <v>2002</v>
      </c>
      <c r="AV19">
        <v>25</v>
      </c>
      <c r="AW19">
        <v>7</v>
      </c>
      <c r="AX19" t="s">
        <v>74</v>
      </c>
      <c r="AY19" t="s">
        <v>74</v>
      </c>
      <c r="AZ19" t="s">
        <v>74</v>
      </c>
      <c r="BA19" t="s">
        <v>74</v>
      </c>
      <c r="BB19">
        <v>538</v>
      </c>
      <c r="BC19">
        <v>541</v>
      </c>
      <c r="BD19" t="s">
        <v>74</v>
      </c>
      <c r="BE19" t="s">
        <v>359</v>
      </c>
      <c r="BF19" t="str">
        <f>HYPERLINK("http://dx.doi.org/10.1007/s00300-002-0379-6","http://dx.doi.org/10.1007/s00300-002-0379-6")</f>
        <v>http://dx.doi.org/10.1007/s00300-002-0379-6</v>
      </c>
      <c r="BG19" t="s">
        <v>74</v>
      </c>
      <c r="BH19" t="s">
        <v>74</v>
      </c>
      <c r="BI19">
        <v>4</v>
      </c>
      <c r="BJ19" t="s">
        <v>277</v>
      </c>
      <c r="BK19" t="s">
        <v>170</v>
      </c>
      <c r="BL19" t="s">
        <v>278</v>
      </c>
      <c r="BM19" t="s">
        <v>279</v>
      </c>
      <c r="BN19" t="s">
        <v>74</v>
      </c>
      <c r="BO19" t="s">
        <v>74</v>
      </c>
      <c r="BP19" t="s">
        <v>74</v>
      </c>
      <c r="BQ19" t="s">
        <v>74</v>
      </c>
      <c r="BR19" t="s">
        <v>107</v>
      </c>
      <c r="BS19" t="s">
        <v>360</v>
      </c>
      <c r="BT19" t="str">
        <f>HYPERLINK("https%3A%2F%2Fwww.webofscience.com%2Fwos%2Fwoscc%2Ffull-record%2FWOS:000176777800010","View Full Record in Web of Science")</f>
        <v>View Full Record in Web of Science</v>
      </c>
    </row>
    <row r="20" spans="1:72" x14ac:dyDescent="0.15">
      <c r="A20" t="s">
        <v>72</v>
      </c>
      <c r="B20" t="s">
        <v>361</v>
      </c>
      <c r="C20" t="s">
        <v>74</v>
      </c>
      <c r="D20" t="s">
        <v>74</v>
      </c>
      <c r="E20" t="s">
        <v>74</v>
      </c>
      <c r="F20" t="s">
        <v>361</v>
      </c>
      <c r="G20" t="s">
        <v>74</v>
      </c>
      <c r="H20" t="s">
        <v>74</v>
      </c>
      <c r="I20" t="s">
        <v>362</v>
      </c>
      <c r="J20" t="s">
        <v>263</v>
      </c>
      <c r="K20" t="s">
        <v>74</v>
      </c>
      <c r="L20" t="s">
        <v>74</v>
      </c>
      <c r="M20" t="s">
        <v>77</v>
      </c>
      <c r="N20" t="s">
        <v>153</v>
      </c>
      <c r="O20" t="s">
        <v>74</v>
      </c>
      <c r="P20" t="s">
        <v>74</v>
      </c>
      <c r="Q20" t="s">
        <v>74</v>
      </c>
      <c r="R20" t="s">
        <v>74</v>
      </c>
      <c r="S20" t="s">
        <v>74</v>
      </c>
      <c r="T20" t="s">
        <v>74</v>
      </c>
      <c r="U20" t="s">
        <v>363</v>
      </c>
      <c r="V20" t="s">
        <v>364</v>
      </c>
      <c r="W20" t="s">
        <v>365</v>
      </c>
      <c r="X20" t="s">
        <v>366</v>
      </c>
      <c r="Y20" t="s">
        <v>367</v>
      </c>
      <c r="Z20" t="s">
        <v>368</v>
      </c>
      <c r="AA20" t="s">
        <v>369</v>
      </c>
      <c r="AB20" t="s">
        <v>370</v>
      </c>
      <c r="AC20" t="s">
        <v>74</v>
      </c>
      <c r="AD20" t="s">
        <v>74</v>
      </c>
      <c r="AE20" t="s">
        <v>74</v>
      </c>
      <c r="AF20" t="s">
        <v>74</v>
      </c>
      <c r="AG20">
        <v>47</v>
      </c>
      <c r="AH20">
        <v>35</v>
      </c>
      <c r="AI20">
        <v>40</v>
      </c>
      <c r="AJ20">
        <v>0</v>
      </c>
      <c r="AK20">
        <v>12</v>
      </c>
      <c r="AL20" t="s">
        <v>194</v>
      </c>
      <c r="AM20" t="s">
        <v>195</v>
      </c>
      <c r="AN20" t="s">
        <v>271</v>
      </c>
      <c r="AO20" t="s">
        <v>272</v>
      </c>
      <c r="AP20" t="s">
        <v>273</v>
      </c>
      <c r="AQ20" t="s">
        <v>74</v>
      </c>
      <c r="AR20" t="s">
        <v>274</v>
      </c>
      <c r="AS20" t="s">
        <v>275</v>
      </c>
      <c r="AT20" t="s">
        <v>201</v>
      </c>
      <c r="AU20">
        <v>2002</v>
      </c>
      <c r="AV20">
        <v>25</v>
      </c>
      <c r="AW20">
        <v>7</v>
      </c>
      <c r="AX20" t="s">
        <v>74</v>
      </c>
      <c r="AY20" t="s">
        <v>74</v>
      </c>
      <c r="AZ20" t="s">
        <v>74</v>
      </c>
      <c r="BA20" t="s">
        <v>74</v>
      </c>
      <c r="BB20">
        <v>542</v>
      </c>
      <c r="BC20">
        <v>552</v>
      </c>
      <c r="BD20" t="s">
        <v>74</v>
      </c>
      <c r="BE20" t="s">
        <v>371</v>
      </c>
      <c r="BF20" t="str">
        <f>HYPERLINK("http://dx.doi.org/10.1007/s00300-002-0383-x","http://dx.doi.org/10.1007/s00300-002-0383-x")</f>
        <v>http://dx.doi.org/10.1007/s00300-002-0383-x</v>
      </c>
      <c r="BG20" t="s">
        <v>74</v>
      </c>
      <c r="BH20" t="s">
        <v>74</v>
      </c>
      <c r="BI20">
        <v>11</v>
      </c>
      <c r="BJ20" t="s">
        <v>277</v>
      </c>
      <c r="BK20" t="s">
        <v>170</v>
      </c>
      <c r="BL20" t="s">
        <v>278</v>
      </c>
      <c r="BM20" t="s">
        <v>279</v>
      </c>
      <c r="BN20" t="s">
        <v>74</v>
      </c>
      <c r="BO20" t="s">
        <v>74</v>
      </c>
      <c r="BP20" t="s">
        <v>74</v>
      </c>
      <c r="BQ20" t="s">
        <v>74</v>
      </c>
      <c r="BR20" t="s">
        <v>107</v>
      </c>
      <c r="BS20" t="s">
        <v>372</v>
      </c>
      <c r="BT20" t="str">
        <f>HYPERLINK("https%3A%2F%2Fwww.webofscience.com%2Fwos%2Fwoscc%2Ffull-record%2FWOS:000176777800011","View Full Record in Web of Science")</f>
        <v>View Full Record in Web of Science</v>
      </c>
    </row>
    <row r="21" spans="1:72" x14ac:dyDescent="0.15">
      <c r="A21" t="s">
        <v>72</v>
      </c>
      <c r="B21" t="s">
        <v>373</v>
      </c>
      <c r="C21" t="s">
        <v>74</v>
      </c>
      <c r="D21" t="s">
        <v>74</v>
      </c>
      <c r="E21" t="s">
        <v>74</v>
      </c>
      <c r="F21" t="s">
        <v>373</v>
      </c>
      <c r="G21" t="s">
        <v>74</v>
      </c>
      <c r="H21" t="s">
        <v>74</v>
      </c>
      <c r="I21" t="s">
        <v>374</v>
      </c>
      <c r="J21" t="s">
        <v>263</v>
      </c>
      <c r="K21" t="s">
        <v>74</v>
      </c>
      <c r="L21" t="s">
        <v>74</v>
      </c>
      <c r="M21" t="s">
        <v>77</v>
      </c>
      <c r="N21" t="s">
        <v>153</v>
      </c>
      <c r="O21" t="s">
        <v>74</v>
      </c>
      <c r="P21" t="s">
        <v>74</v>
      </c>
      <c r="Q21" t="s">
        <v>74</v>
      </c>
      <c r="R21" t="s">
        <v>74</v>
      </c>
      <c r="S21" t="s">
        <v>74</v>
      </c>
      <c r="T21" t="s">
        <v>74</v>
      </c>
      <c r="U21" t="s">
        <v>74</v>
      </c>
      <c r="V21" t="s">
        <v>375</v>
      </c>
      <c r="W21" t="s">
        <v>376</v>
      </c>
      <c r="X21" t="s">
        <v>377</v>
      </c>
      <c r="Y21" t="s">
        <v>378</v>
      </c>
      <c r="Z21" t="s">
        <v>74</v>
      </c>
      <c r="AA21" t="s">
        <v>379</v>
      </c>
      <c r="AB21" t="s">
        <v>74</v>
      </c>
      <c r="AC21" t="s">
        <v>74</v>
      </c>
      <c r="AD21" t="s">
        <v>74</v>
      </c>
      <c r="AE21" t="s">
        <v>74</v>
      </c>
      <c r="AF21" t="s">
        <v>74</v>
      </c>
      <c r="AG21">
        <v>9</v>
      </c>
      <c r="AH21">
        <v>6</v>
      </c>
      <c r="AI21">
        <v>7</v>
      </c>
      <c r="AJ21">
        <v>0</v>
      </c>
      <c r="AK21">
        <v>2</v>
      </c>
      <c r="AL21" t="s">
        <v>290</v>
      </c>
      <c r="AM21" t="s">
        <v>195</v>
      </c>
      <c r="AN21" t="s">
        <v>291</v>
      </c>
      <c r="AO21" t="s">
        <v>272</v>
      </c>
      <c r="AP21" t="s">
        <v>74</v>
      </c>
      <c r="AQ21" t="s">
        <v>74</v>
      </c>
      <c r="AR21" t="s">
        <v>274</v>
      </c>
      <c r="AS21" t="s">
        <v>275</v>
      </c>
      <c r="AT21" t="s">
        <v>201</v>
      </c>
      <c r="AU21">
        <v>2002</v>
      </c>
      <c r="AV21">
        <v>25</v>
      </c>
      <c r="AW21">
        <v>7</v>
      </c>
      <c r="AX21" t="s">
        <v>74</v>
      </c>
      <c r="AY21" t="s">
        <v>74</v>
      </c>
      <c r="AZ21" t="s">
        <v>74</v>
      </c>
      <c r="BA21" t="s">
        <v>74</v>
      </c>
      <c r="BB21">
        <v>553</v>
      </c>
      <c r="BC21">
        <v>556</v>
      </c>
      <c r="BD21" t="s">
        <v>74</v>
      </c>
      <c r="BE21" t="s">
        <v>380</v>
      </c>
      <c r="BF21" t="str">
        <f>HYPERLINK("http://dx.doi.org/10.1007/s00300-002-0377-8","http://dx.doi.org/10.1007/s00300-002-0377-8")</f>
        <v>http://dx.doi.org/10.1007/s00300-002-0377-8</v>
      </c>
      <c r="BG21" t="s">
        <v>74</v>
      </c>
      <c r="BH21" t="s">
        <v>74</v>
      </c>
      <c r="BI21">
        <v>4</v>
      </c>
      <c r="BJ21" t="s">
        <v>277</v>
      </c>
      <c r="BK21" t="s">
        <v>170</v>
      </c>
      <c r="BL21" t="s">
        <v>278</v>
      </c>
      <c r="BM21" t="s">
        <v>279</v>
      </c>
      <c r="BN21" t="s">
        <v>74</v>
      </c>
      <c r="BO21" t="s">
        <v>74</v>
      </c>
      <c r="BP21" t="s">
        <v>74</v>
      </c>
      <c r="BQ21" t="s">
        <v>74</v>
      </c>
      <c r="BR21" t="s">
        <v>107</v>
      </c>
      <c r="BS21" t="s">
        <v>381</v>
      </c>
      <c r="BT21" t="str">
        <f>HYPERLINK("https%3A%2F%2Fwww.webofscience.com%2Fwos%2Fwoscc%2Ffull-record%2FWOS:000176777800012","View Full Record in Web of Science")</f>
        <v>View Full Record in Web of Science</v>
      </c>
    </row>
    <row r="22" spans="1:72" x14ac:dyDescent="0.15">
      <c r="A22" t="s">
        <v>72</v>
      </c>
      <c r="B22" t="s">
        <v>382</v>
      </c>
      <c r="C22" t="s">
        <v>74</v>
      </c>
      <c r="D22" t="s">
        <v>74</v>
      </c>
      <c r="E22" t="s">
        <v>74</v>
      </c>
      <c r="F22" t="s">
        <v>382</v>
      </c>
      <c r="G22" t="s">
        <v>74</v>
      </c>
      <c r="H22" t="s">
        <v>74</v>
      </c>
      <c r="I22" t="s">
        <v>383</v>
      </c>
      <c r="J22" t="s">
        <v>384</v>
      </c>
      <c r="K22" t="s">
        <v>74</v>
      </c>
      <c r="L22" t="s">
        <v>74</v>
      </c>
      <c r="M22" t="s">
        <v>77</v>
      </c>
      <c r="N22" t="s">
        <v>153</v>
      </c>
      <c r="O22" t="s">
        <v>74</v>
      </c>
      <c r="P22" t="s">
        <v>74</v>
      </c>
      <c r="Q22" t="s">
        <v>74</v>
      </c>
      <c r="R22" t="s">
        <v>74</v>
      </c>
      <c r="S22" t="s">
        <v>74</v>
      </c>
      <c r="T22" t="s">
        <v>385</v>
      </c>
      <c r="U22" t="s">
        <v>386</v>
      </c>
      <c r="V22" t="s">
        <v>387</v>
      </c>
      <c r="W22" t="s">
        <v>388</v>
      </c>
      <c r="X22" t="s">
        <v>389</v>
      </c>
      <c r="Y22" t="s">
        <v>390</v>
      </c>
      <c r="Z22" t="s">
        <v>391</v>
      </c>
      <c r="AA22" t="s">
        <v>392</v>
      </c>
      <c r="AB22" t="s">
        <v>393</v>
      </c>
      <c r="AC22" t="s">
        <v>74</v>
      </c>
      <c r="AD22" t="s">
        <v>74</v>
      </c>
      <c r="AE22" t="s">
        <v>74</v>
      </c>
      <c r="AF22" t="s">
        <v>74</v>
      </c>
      <c r="AG22">
        <v>28</v>
      </c>
      <c r="AH22">
        <v>36</v>
      </c>
      <c r="AI22">
        <v>38</v>
      </c>
      <c r="AJ22">
        <v>0</v>
      </c>
      <c r="AK22">
        <v>6</v>
      </c>
      <c r="AL22" t="s">
        <v>394</v>
      </c>
      <c r="AM22" t="s">
        <v>395</v>
      </c>
      <c r="AN22" t="s">
        <v>396</v>
      </c>
      <c r="AO22" t="s">
        <v>397</v>
      </c>
      <c r="AP22" t="s">
        <v>398</v>
      </c>
      <c r="AQ22" t="s">
        <v>74</v>
      </c>
      <c r="AR22" t="s">
        <v>399</v>
      </c>
      <c r="AS22" t="s">
        <v>400</v>
      </c>
      <c r="AT22" t="s">
        <v>201</v>
      </c>
      <c r="AU22">
        <v>2002</v>
      </c>
      <c r="AV22">
        <v>128</v>
      </c>
      <c r="AW22">
        <v>583</v>
      </c>
      <c r="AX22" t="s">
        <v>401</v>
      </c>
      <c r="AY22" t="s">
        <v>74</v>
      </c>
      <c r="AZ22" t="s">
        <v>74</v>
      </c>
      <c r="BA22" t="s">
        <v>74</v>
      </c>
      <c r="BB22">
        <v>1571</v>
      </c>
      <c r="BC22">
        <v>1587</v>
      </c>
      <c r="BD22" t="s">
        <v>74</v>
      </c>
      <c r="BE22" t="s">
        <v>402</v>
      </c>
      <c r="BF22" t="str">
        <f>HYPERLINK("http://dx.doi.org/10.1256/00359000260247363","http://dx.doi.org/10.1256/00359000260247363")</f>
        <v>http://dx.doi.org/10.1256/00359000260247363</v>
      </c>
      <c r="BG22" t="s">
        <v>74</v>
      </c>
      <c r="BH22" t="s">
        <v>74</v>
      </c>
      <c r="BI22">
        <v>17</v>
      </c>
      <c r="BJ22" t="s">
        <v>403</v>
      </c>
      <c r="BK22" t="s">
        <v>170</v>
      </c>
      <c r="BL22" t="s">
        <v>403</v>
      </c>
      <c r="BM22" t="s">
        <v>404</v>
      </c>
      <c r="BN22" t="s">
        <v>74</v>
      </c>
      <c r="BO22" t="s">
        <v>74</v>
      </c>
      <c r="BP22" t="s">
        <v>74</v>
      </c>
      <c r="BQ22" t="s">
        <v>74</v>
      </c>
      <c r="BR22" t="s">
        <v>107</v>
      </c>
      <c r="BS22" t="s">
        <v>405</v>
      </c>
      <c r="BT22" t="str">
        <f>HYPERLINK("https%3A%2F%2Fwww.webofscience.com%2Fwos%2Fwoscc%2Ffull-record%2FWOS:000177220200009","View Full Record in Web of Science")</f>
        <v>View Full Record in Web of Science</v>
      </c>
    </row>
    <row r="23" spans="1:72" x14ac:dyDescent="0.15">
      <c r="A23" t="s">
        <v>72</v>
      </c>
      <c r="B23" t="s">
        <v>406</v>
      </c>
      <c r="C23" t="s">
        <v>74</v>
      </c>
      <c r="D23" t="s">
        <v>74</v>
      </c>
      <c r="E23" t="s">
        <v>74</v>
      </c>
      <c r="F23" t="s">
        <v>406</v>
      </c>
      <c r="G23" t="s">
        <v>74</v>
      </c>
      <c r="H23" t="s">
        <v>74</v>
      </c>
      <c r="I23" t="s">
        <v>407</v>
      </c>
      <c r="J23" t="s">
        <v>384</v>
      </c>
      <c r="K23" t="s">
        <v>74</v>
      </c>
      <c r="L23" t="s">
        <v>74</v>
      </c>
      <c r="M23" t="s">
        <v>77</v>
      </c>
      <c r="N23" t="s">
        <v>153</v>
      </c>
      <c r="O23" t="s">
        <v>74</v>
      </c>
      <c r="P23" t="s">
        <v>74</v>
      </c>
      <c r="Q23" t="s">
        <v>74</v>
      </c>
      <c r="R23" t="s">
        <v>74</v>
      </c>
      <c r="S23" t="s">
        <v>74</v>
      </c>
      <c r="T23" t="s">
        <v>408</v>
      </c>
      <c r="U23" t="s">
        <v>409</v>
      </c>
      <c r="V23" t="s">
        <v>410</v>
      </c>
      <c r="W23" t="s">
        <v>411</v>
      </c>
      <c r="X23" t="s">
        <v>412</v>
      </c>
      <c r="Y23" t="s">
        <v>413</v>
      </c>
      <c r="Z23" t="s">
        <v>74</v>
      </c>
      <c r="AA23" t="s">
        <v>74</v>
      </c>
      <c r="AB23" t="s">
        <v>414</v>
      </c>
      <c r="AC23" t="s">
        <v>74</v>
      </c>
      <c r="AD23" t="s">
        <v>74</v>
      </c>
      <c r="AE23" t="s">
        <v>74</v>
      </c>
      <c r="AF23" t="s">
        <v>74</v>
      </c>
      <c r="AG23">
        <v>24</v>
      </c>
      <c r="AH23">
        <v>6</v>
      </c>
      <c r="AI23">
        <v>6</v>
      </c>
      <c r="AJ23">
        <v>0</v>
      </c>
      <c r="AK23">
        <v>1</v>
      </c>
      <c r="AL23" t="s">
        <v>415</v>
      </c>
      <c r="AM23" t="s">
        <v>416</v>
      </c>
      <c r="AN23" t="s">
        <v>417</v>
      </c>
      <c r="AO23" t="s">
        <v>397</v>
      </c>
      <c r="AP23" t="s">
        <v>74</v>
      </c>
      <c r="AQ23" t="s">
        <v>74</v>
      </c>
      <c r="AR23" t="s">
        <v>399</v>
      </c>
      <c r="AS23" t="s">
        <v>400</v>
      </c>
      <c r="AT23" t="s">
        <v>201</v>
      </c>
      <c r="AU23">
        <v>2002</v>
      </c>
      <c r="AV23">
        <v>128</v>
      </c>
      <c r="AW23">
        <v>584</v>
      </c>
      <c r="AX23" t="s">
        <v>418</v>
      </c>
      <c r="AY23" t="s">
        <v>74</v>
      </c>
      <c r="AZ23" t="s">
        <v>74</v>
      </c>
      <c r="BA23" t="s">
        <v>74</v>
      </c>
      <c r="BB23">
        <v>1807</v>
      </c>
      <c r="BC23">
        <v>1826</v>
      </c>
      <c r="BD23" t="s">
        <v>74</v>
      </c>
      <c r="BE23" t="s">
        <v>419</v>
      </c>
      <c r="BF23" t="str">
        <f>HYPERLINK("http://dx.doi.org/10.1256/003590002320603421","http://dx.doi.org/10.1256/003590002320603421")</f>
        <v>http://dx.doi.org/10.1256/003590002320603421</v>
      </c>
      <c r="BG23" t="s">
        <v>74</v>
      </c>
      <c r="BH23" t="s">
        <v>74</v>
      </c>
      <c r="BI23">
        <v>20</v>
      </c>
      <c r="BJ23" t="s">
        <v>403</v>
      </c>
      <c r="BK23" t="s">
        <v>170</v>
      </c>
      <c r="BL23" t="s">
        <v>403</v>
      </c>
      <c r="BM23" t="s">
        <v>420</v>
      </c>
      <c r="BN23" t="s">
        <v>74</v>
      </c>
      <c r="BO23" t="s">
        <v>74</v>
      </c>
      <c r="BP23" t="s">
        <v>74</v>
      </c>
      <c r="BQ23" t="s">
        <v>74</v>
      </c>
      <c r="BR23" t="s">
        <v>107</v>
      </c>
      <c r="BS23" t="s">
        <v>421</v>
      </c>
      <c r="BT23" t="str">
        <f>HYPERLINK("https%3A%2F%2Fwww.webofscience.com%2Fwos%2Fwoscc%2Ffull-record%2FWOS:000177646300003","View Full Record in Web of Science")</f>
        <v>View Full Record in Web of Science</v>
      </c>
    </row>
    <row r="24" spans="1:72" x14ac:dyDescent="0.15">
      <c r="A24" t="s">
        <v>72</v>
      </c>
      <c r="B24" t="s">
        <v>422</v>
      </c>
      <c r="C24" t="s">
        <v>74</v>
      </c>
      <c r="D24" t="s">
        <v>74</v>
      </c>
      <c r="E24" t="s">
        <v>74</v>
      </c>
      <c r="F24" t="s">
        <v>422</v>
      </c>
      <c r="G24" t="s">
        <v>74</v>
      </c>
      <c r="H24" t="s">
        <v>74</v>
      </c>
      <c r="I24" t="s">
        <v>423</v>
      </c>
      <c r="J24" t="s">
        <v>424</v>
      </c>
      <c r="K24" t="s">
        <v>74</v>
      </c>
      <c r="L24" t="s">
        <v>74</v>
      </c>
      <c r="M24" t="s">
        <v>77</v>
      </c>
      <c r="N24" t="s">
        <v>153</v>
      </c>
      <c r="O24" t="s">
        <v>74</v>
      </c>
      <c r="P24" t="s">
        <v>74</v>
      </c>
      <c r="Q24" t="s">
        <v>74</v>
      </c>
      <c r="R24" t="s">
        <v>74</v>
      </c>
      <c r="S24" t="s">
        <v>74</v>
      </c>
      <c r="T24" t="s">
        <v>425</v>
      </c>
      <c r="U24" t="s">
        <v>426</v>
      </c>
      <c r="V24" t="s">
        <v>427</v>
      </c>
      <c r="W24" t="s">
        <v>428</v>
      </c>
      <c r="X24" t="s">
        <v>429</v>
      </c>
      <c r="Y24" t="s">
        <v>430</v>
      </c>
      <c r="Z24" t="s">
        <v>431</v>
      </c>
      <c r="AA24" t="s">
        <v>74</v>
      </c>
      <c r="AB24" t="s">
        <v>74</v>
      </c>
      <c r="AC24" t="s">
        <v>74</v>
      </c>
      <c r="AD24" t="s">
        <v>74</v>
      </c>
      <c r="AE24" t="s">
        <v>74</v>
      </c>
      <c r="AF24" t="s">
        <v>74</v>
      </c>
      <c r="AG24">
        <v>56</v>
      </c>
      <c r="AH24">
        <v>62</v>
      </c>
      <c r="AI24">
        <v>73</v>
      </c>
      <c r="AJ24">
        <v>0</v>
      </c>
      <c r="AK24">
        <v>6</v>
      </c>
      <c r="AL24" t="s">
        <v>90</v>
      </c>
      <c r="AM24" t="s">
        <v>91</v>
      </c>
      <c r="AN24" t="s">
        <v>92</v>
      </c>
      <c r="AO24" t="s">
        <v>432</v>
      </c>
      <c r="AP24" t="s">
        <v>433</v>
      </c>
      <c r="AQ24" t="s">
        <v>74</v>
      </c>
      <c r="AR24" t="s">
        <v>434</v>
      </c>
      <c r="AS24" t="s">
        <v>435</v>
      </c>
      <c r="AT24" t="s">
        <v>97</v>
      </c>
      <c r="AU24">
        <v>2002</v>
      </c>
      <c r="AV24">
        <v>150</v>
      </c>
      <c r="AW24" t="s">
        <v>436</v>
      </c>
      <c r="AX24" t="s">
        <v>74</v>
      </c>
      <c r="AY24" t="s">
        <v>74</v>
      </c>
      <c r="AZ24" t="s">
        <v>74</v>
      </c>
      <c r="BA24" t="s">
        <v>74</v>
      </c>
      <c r="BB24">
        <v>301</v>
      </c>
      <c r="BC24">
        <v>321</v>
      </c>
      <c r="BD24" t="s">
        <v>437</v>
      </c>
      <c r="BE24" t="s">
        <v>438</v>
      </c>
      <c r="BF24" t="str">
        <f>HYPERLINK("http://dx.doi.org/10.1016/S0037-0738(01)00201-9","http://dx.doi.org/10.1016/S0037-0738(01)00201-9")</f>
        <v>http://dx.doi.org/10.1016/S0037-0738(01)00201-9</v>
      </c>
      <c r="BG24" t="s">
        <v>74</v>
      </c>
      <c r="BH24" t="s">
        <v>74</v>
      </c>
      <c r="BI24">
        <v>21</v>
      </c>
      <c r="BJ24" t="s">
        <v>439</v>
      </c>
      <c r="BK24" t="s">
        <v>170</v>
      </c>
      <c r="BL24" t="s">
        <v>439</v>
      </c>
      <c r="BM24" t="s">
        <v>440</v>
      </c>
      <c r="BN24" t="s">
        <v>74</v>
      </c>
      <c r="BO24" t="s">
        <v>74</v>
      </c>
      <c r="BP24" t="s">
        <v>74</v>
      </c>
      <c r="BQ24" t="s">
        <v>74</v>
      </c>
      <c r="BR24" t="s">
        <v>107</v>
      </c>
      <c r="BS24" t="s">
        <v>441</v>
      </c>
      <c r="BT24" t="str">
        <f>HYPERLINK("https%3A%2F%2Fwww.webofscience.com%2Fwos%2Fwoscc%2Ffull-record%2FWOS:000176153900005","View Full Record in Web of Science")</f>
        <v>View Full Record in Web of Science</v>
      </c>
    </row>
    <row r="25" spans="1:72" x14ac:dyDescent="0.15">
      <c r="A25" t="s">
        <v>72</v>
      </c>
      <c r="B25" t="s">
        <v>442</v>
      </c>
      <c r="C25" t="s">
        <v>74</v>
      </c>
      <c r="D25" t="s">
        <v>74</v>
      </c>
      <c r="E25" t="s">
        <v>74</v>
      </c>
      <c r="F25" t="s">
        <v>442</v>
      </c>
      <c r="G25" t="s">
        <v>74</v>
      </c>
      <c r="H25" t="s">
        <v>74</v>
      </c>
      <c r="I25" t="s">
        <v>443</v>
      </c>
      <c r="J25" t="s">
        <v>444</v>
      </c>
      <c r="K25" t="s">
        <v>74</v>
      </c>
      <c r="L25" t="s">
        <v>74</v>
      </c>
      <c r="M25" t="s">
        <v>77</v>
      </c>
      <c r="N25" t="s">
        <v>153</v>
      </c>
      <c r="O25" t="s">
        <v>74</v>
      </c>
      <c r="P25" t="s">
        <v>74</v>
      </c>
      <c r="Q25" t="s">
        <v>74</v>
      </c>
      <c r="R25" t="s">
        <v>74</v>
      </c>
      <c r="S25" t="s">
        <v>74</v>
      </c>
      <c r="T25" t="s">
        <v>74</v>
      </c>
      <c r="U25" t="s">
        <v>445</v>
      </c>
      <c r="V25" t="s">
        <v>446</v>
      </c>
      <c r="W25" t="s">
        <v>447</v>
      </c>
      <c r="X25" t="s">
        <v>448</v>
      </c>
      <c r="Y25" t="s">
        <v>449</v>
      </c>
      <c r="Z25" t="s">
        <v>450</v>
      </c>
      <c r="AA25" t="s">
        <v>451</v>
      </c>
      <c r="AB25" t="s">
        <v>452</v>
      </c>
      <c r="AC25" t="s">
        <v>74</v>
      </c>
      <c r="AD25" t="s">
        <v>74</v>
      </c>
      <c r="AE25" t="s">
        <v>74</v>
      </c>
      <c r="AF25" t="s">
        <v>74</v>
      </c>
      <c r="AG25">
        <v>33</v>
      </c>
      <c r="AH25">
        <v>44</v>
      </c>
      <c r="AI25">
        <v>49</v>
      </c>
      <c r="AJ25">
        <v>0</v>
      </c>
      <c r="AK25">
        <v>2</v>
      </c>
      <c r="AL25" t="s">
        <v>453</v>
      </c>
      <c r="AM25" t="s">
        <v>454</v>
      </c>
      <c r="AN25" t="s">
        <v>455</v>
      </c>
      <c r="AO25" t="s">
        <v>456</v>
      </c>
      <c r="AP25" t="s">
        <v>74</v>
      </c>
      <c r="AQ25" t="s">
        <v>74</v>
      </c>
      <c r="AR25" t="s">
        <v>457</v>
      </c>
      <c r="AS25" t="s">
        <v>458</v>
      </c>
      <c r="AT25" t="s">
        <v>201</v>
      </c>
      <c r="AU25">
        <v>2002</v>
      </c>
      <c r="AV25">
        <v>54</v>
      </c>
      <c r="AW25">
        <v>3</v>
      </c>
      <c r="AX25" t="s">
        <v>74</v>
      </c>
      <c r="AY25" t="s">
        <v>74</v>
      </c>
      <c r="AZ25" t="s">
        <v>74</v>
      </c>
      <c r="BA25" t="s">
        <v>74</v>
      </c>
      <c r="BB25">
        <v>250</v>
      </c>
      <c r="BC25">
        <v>268</v>
      </c>
      <c r="BD25" t="s">
        <v>74</v>
      </c>
      <c r="BE25" t="s">
        <v>459</v>
      </c>
      <c r="BF25" t="str">
        <f>HYPERLINK("http://dx.doi.org/10.1034/j.1600-0889.2002.01364.x","http://dx.doi.org/10.1034/j.1600-0889.2002.01364.x")</f>
        <v>http://dx.doi.org/10.1034/j.1600-0889.2002.01364.x</v>
      </c>
      <c r="BG25" t="s">
        <v>74</v>
      </c>
      <c r="BH25" t="s">
        <v>74</v>
      </c>
      <c r="BI25">
        <v>19</v>
      </c>
      <c r="BJ25" t="s">
        <v>403</v>
      </c>
      <c r="BK25" t="s">
        <v>170</v>
      </c>
      <c r="BL25" t="s">
        <v>403</v>
      </c>
      <c r="BM25" t="s">
        <v>460</v>
      </c>
      <c r="BN25" t="s">
        <v>74</v>
      </c>
      <c r="BO25" t="s">
        <v>461</v>
      </c>
      <c r="BP25" t="s">
        <v>74</v>
      </c>
      <c r="BQ25" t="s">
        <v>74</v>
      </c>
      <c r="BR25" t="s">
        <v>107</v>
      </c>
      <c r="BS25" t="s">
        <v>462</v>
      </c>
      <c r="BT25" t="str">
        <f>HYPERLINK("https%3A%2F%2Fwww.webofscience.com%2Fwos%2Fwoscc%2Ffull-record%2FWOS:000176671600005","View Full Record in Web of Science")</f>
        <v>View Full Record in Web of Science</v>
      </c>
    </row>
    <row r="26" spans="1:72" x14ac:dyDescent="0.15">
      <c r="A26" t="s">
        <v>72</v>
      </c>
      <c r="B26" t="s">
        <v>463</v>
      </c>
      <c r="C26" t="s">
        <v>74</v>
      </c>
      <c r="D26" t="s">
        <v>74</v>
      </c>
      <c r="E26" t="s">
        <v>74</v>
      </c>
      <c r="F26" t="s">
        <v>463</v>
      </c>
      <c r="G26" t="s">
        <v>74</v>
      </c>
      <c r="H26" t="s">
        <v>74</v>
      </c>
      <c r="I26" t="s">
        <v>464</v>
      </c>
      <c r="J26" t="s">
        <v>465</v>
      </c>
      <c r="K26" t="s">
        <v>74</v>
      </c>
      <c r="L26" t="s">
        <v>74</v>
      </c>
      <c r="M26" t="s">
        <v>77</v>
      </c>
      <c r="N26" t="s">
        <v>153</v>
      </c>
      <c r="O26" t="s">
        <v>74</v>
      </c>
      <c r="P26" t="s">
        <v>74</v>
      </c>
      <c r="Q26" t="s">
        <v>74</v>
      </c>
      <c r="R26" t="s">
        <v>74</v>
      </c>
      <c r="S26" t="s">
        <v>74</v>
      </c>
      <c r="T26" t="s">
        <v>466</v>
      </c>
      <c r="U26" t="s">
        <v>467</v>
      </c>
      <c r="V26" t="s">
        <v>468</v>
      </c>
      <c r="W26" t="s">
        <v>469</v>
      </c>
      <c r="X26" t="s">
        <v>470</v>
      </c>
      <c r="Y26" t="s">
        <v>471</v>
      </c>
      <c r="Z26" t="s">
        <v>74</v>
      </c>
      <c r="AA26" t="s">
        <v>472</v>
      </c>
      <c r="AB26" t="s">
        <v>473</v>
      </c>
      <c r="AC26" t="s">
        <v>74</v>
      </c>
      <c r="AD26" t="s">
        <v>74</v>
      </c>
      <c r="AE26" t="s">
        <v>74</v>
      </c>
      <c r="AF26" t="s">
        <v>74</v>
      </c>
      <c r="AG26">
        <v>41</v>
      </c>
      <c r="AH26">
        <v>21</v>
      </c>
      <c r="AI26">
        <v>24</v>
      </c>
      <c r="AJ26">
        <v>1</v>
      </c>
      <c r="AK26">
        <v>8</v>
      </c>
      <c r="AL26" t="s">
        <v>215</v>
      </c>
      <c r="AM26" t="s">
        <v>216</v>
      </c>
      <c r="AN26" t="s">
        <v>217</v>
      </c>
      <c r="AO26" t="s">
        <v>474</v>
      </c>
      <c r="AP26" t="s">
        <v>74</v>
      </c>
      <c r="AQ26" t="s">
        <v>74</v>
      </c>
      <c r="AR26" t="s">
        <v>475</v>
      </c>
      <c r="AS26" t="s">
        <v>476</v>
      </c>
      <c r="AT26" t="s">
        <v>477</v>
      </c>
      <c r="AU26">
        <v>2002</v>
      </c>
      <c r="AV26">
        <v>22</v>
      </c>
      <c r="AW26">
        <v>8</v>
      </c>
      <c r="AX26" t="s">
        <v>74</v>
      </c>
      <c r="AY26" t="s">
        <v>74</v>
      </c>
      <c r="AZ26" t="s">
        <v>74</v>
      </c>
      <c r="BA26" t="s">
        <v>74</v>
      </c>
      <c r="BB26">
        <v>885</v>
      </c>
      <c r="BC26">
        <v>900</v>
      </c>
      <c r="BD26" t="s">
        <v>74</v>
      </c>
      <c r="BE26" t="s">
        <v>478</v>
      </c>
      <c r="BF26" t="str">
        <f>HYPERLINK("http://dx.doi.org/10.1002/joc.770","http://dx.doi.org/10.1002/joc.770")</f>
        <v>http://dx.doi.org/10.1002/joc.770</v>
      </c>
      <c r="BG26" t="s">
        <v>74</v>
      </c>
      <c r="BH26" t="s">
        <v>74</v>
      </c>
      <c r="BI26">
        <v>16</v>
      </c>
      <c r="BJ26" t="s">
        <v>403</v>
      </c>
      <c r="BK26" t="s">
        <v>170</v>
      </c>
      <c r="BL26" t="s">
        <v>403</v>
      </c>
      <c r="BM26" t="s">
        <v>479</v>
      </c>
      <c r="BN26" t="s">
        <v>74</v>
      </c>
      <c r="BO26" t="s">
        <v>74</v>
      </c>
      <c r="BP26" t="s">
        <v>74</v>
      </c>
      <c r="BQ26" t="s">
        <v>74</v>
      </c>
      <c r="BR26" t="s">
        <v>107</v>
      </c>
      <c r="BS26" t="s">
        <v>480</v>
      </c>
      <c r="BT26" t="str">
        <f>HYPERLINK("https%3A%2F%2Fwww.webofscience.com%2Fwos%2Fwoscc%2Ffull-record%2FWOS:000176656400001","View Full Record in Web of Science")</f>
        <v>View Full Record in Web of Science</v>
      </c>
    </row>
    <row r="27" spans="1:72" x14ac:dyDescent="0.15">
      <c r="A27" t="s">
        <v>72</v>
      </c>
      <c r="B27" t="s">
        <v>481</v>
      </c>
      <c r="C27" t="s">
        <v>74</v>
      </c>
      <c r="D27" t="s">
        <v>74</v>
      </c>
      <c r="E27" t="s">
        <v>74</v>
      </c>
      <c r="F27" t="s">
        <v>481</v>
      </c>
      <c r="G27" t="s">
        <v>74</v>
      </c>
      <c r="H27" t="s">
        <v>74</v>
      </c>
      <c r="I27" t="s">
        <v>482</v>
      </c>
      <c r="J27" t="s">
        <v>465</v>
      </c>
      <c r="K27" t="s">
        <v>74</v>
      </c>
      <c r="L27" t="s">
        <v>74</v>
      </c>
      <c r="M27" t="s">
        <v>77</v>
      </c>
      <c r="N27" t="s">
        <v>153</v>
      </c>
      <c r="O27" t="s">
        <v>74</v>
      </c>
      <c r="P27" t="s">
        <v>74</v>
      </c>
      <c r="Q27" t="s">
        <v>74</v>
      </c>
      <c r="R27" t="s">
        <v>74</v>
      </c>
      <c r="S27" t="s">
        <v>74</v>
      </c>
      <c r="T27" t="s">
        <v>483</v>
      </c>
      <c r="U27" t="s">
        <v>484</v>
      </c>
      <c r="V27" t="s">
        <v>485</v>
      </c>
      <c r="W27" t="s">
        <v>486</v>
      </c>
      <c r="X27" t="s">
        <v>487</v>
      </c>
      <c r="Y27" t="s">
        <v>488</v>
      </c>
      <c r="Z27" t="s">
        <v>74</v>
      </c>
      <c r="AA27" t="s">
        <v>489</v>
      </c>
      <c r="AB27" t="s">
        <v>74</v>
      </c>
      <c r="AC27" t="s">
        <v>74</v>
      </c>
      <c r="AD27" t="s">
        <v>74</v>
      </c>
      <c r="AE27" t="s">
        <v>74</v>
      </c>
      <c r="AF27" t="s">
        <v>74</v>
      </c>
      <c r="AG27">
        <v>41</v>
      </c>
      <c r="AH27">
        <v>43</v>
      </c>
      <c r="AI27">
        <v>44</v>
      </c>
      <c r="AJ27">
        <v>0</v>
      </c>
      <c r="AK27">
        <v>13</v>
      </c>
      <c r="AL27" t="s">
        <v>215</v>
      </c>
      <c r="AM27" t="s">
        <v>216</v>
      </c>
      <c r="AN27" t="s">
        <v>217</v>
      </c>
      <c r="AO27" t="s">
        <v>474</v>
      </c>
      <c r="AP27" t="s">
        <v>74</v>
      </c>
      <c r="AQ27" t="s">
        <v>74</v>
      </c>
      <c r="AR27" t="s">
        <v>475</v>
      </c>
      <c r="AS27" t="s">
        <v>476</v>
      </c>
      <c r="AT27" t="s">
        <v>477</v>
      </c>
      <c r="AU27">
        <v>2002</v>
      </c>
      <c r="AV27">
        <v>22</v>
      </c>
      <c r="AW27">
        <v>8</v>
      </c>
      <c r="AX27" t="s">
        <v>74</v>
      </c>
      <c r="AY27" t="s">
        <v>74</v>
      </c>
      <c r="AZ27" t="s">
        <v>74</v>
      </c>
      <c r="BA27" t="s">
        <v>74</v>
      </c>
      <c r="BB27">
        <v>901</v>
      </c>
      <c r="BC27">
        <v>915</v>
      </c>
      <c r="BD27" t="s">
        <v>74</v>
      </c>
      <c r="BE27" t="s">
        <v>490</v>
      </c>
      <c r="BF27" t="str">
        <f>HYPERLINK("http://dx.doi.org/10.1002/joc.768","http://dx.doi.org/10.1002/joc.768")</f>
        <v>http://dx.doi.org/10.1002/joc.768</v>
      </c>
      <c r="BG27" t="s">
        <v>74</v>
      </c>
      <c r="BH27" t="s">
        <v>74</v>
      </c>
      <c r="BI27">
        <v>15</v>
      </c>
      <c r="BJ27" t="s">
        <v>403</v>
      </c>
      <c r="BK27" t="s">
        <v>170</v>
      </c>
      <c r="BL27" t="s">
        <v>403</v>
      </c>
      <c r="BM27" t="s">
        <v>479</v>
      </c>
      <c r="BN27" t="s">
        <v>74</v>
      </c>
      <c r="BO27" t="s">
        <v>74</v>
      </c>
      <c r="BP27" t="s">
        <v>74</v>
      </c>
      <c r="BQ27" t="s">
        <v>74</v>
      </c>
      <c r="BR27" t="s">
        <v>107</v>
      </c>
      <c r="BS27" t="s">
        <v>491</v>
      </c>
      <c r="BT27" t="str">
        <f>HYPERLINK("https%3A%2F%2Fwww.webofscience.com%2Fwos%2Fwoscc%2Ffull-record%2FWOS:000176656400002","View Full Record in Web of Science")</f>
        <v>View Full Record in Web of Science</v>
      </c>
    </row>
    <row r="28" spans="1:72" x14ac:dyDescent="0.15">
      <c r="A28" t="s">
        <v>72</v>
      </c>
      <c r="B28" t="s">
        <v>492</v>
      </c>
      <c r="C28" t="s">
        <v>74</v>
      </c>
      <c r="D28" t="s">
        <v>74</v>
      </c>
      <c r="E28" t="s">
        <v>74</v>
      </c>
      <c r="F28" t="s">
        <v>492</v>
      </c>
      <c r="G28" t="s">
        <v>74</v>
      </c>
      <c r="H28" t="s">
        <v>74</v>
      </c>
      <c r="I28" t="s">
        <v>493</v>
      </c>
      <c r="J28" t="s">
        <v>494</v>
      </c>
      <c r="K28" t="s">
        <v>74</v>
      </c>
      <c r="L28" t="s">
        <v>74</v>
      </c>
      <c r="M28" t="s">
        <v>77</v>
      </c>
      <c r="N28" t="s">
        <v>153</v>
      </c>
      <c r="O28" t="s">
        <v>74</v>
      </c>
      <c r="P28" t="s">
        <v>74</v>
      </c>
      <c r="Q28" t="s">
        <v>74</v>
      </c>
      <c r="R28" t="s">
        <v>74</v>
      </c>
      <c r="S28" t="s">
        <v>74</v>
      </c>
      <c r="T28" t="s">
        <v>495</v>
      </c>
      <c r="U28" t="s">
        <v>496</v>
      </c>
      <c r="V28" t="s">
        <v>497</v>
      </c>
      <c r="W28" t="s">
        <v>498</v>
      </c>
      <c r="X28" t="s">
        <v>499</v>
      </c>
      <c r="Y28" t="s">
        <v>500</v>
      </c>
      <c r="Z28" t="s">
        <v>74</v>
      </c>
      <c r="AA28" t="s">
        <v>501</v>
      </c>
      <c r="AB28" t="s">
        <v>502</v>
      </c>
      <c r="AC28" t="s">
        <v>74</v>
      </c>
      <c r="AD28" t="s">
        <v>74</v>
      </c>
      <c r="AE28" t="s">
        <v>74</v>
      </c>
      <c r="AF28" t="s">
        <v>74</v>
      </c>
      <c r="AG28">
        <v>32</v>
      </c>
      <c r="AH28">
        <v>69</v>
      </c>
      <c r="AI28">
        <v>77</v>
      </c>
      <c r="AJ28">
        <v>0</v>
      </c>
      <c r="AK28">
        <v>5</v>
      </c>
      <c r="AL28" t="s">
        <v>132</v>
      </c>
      <c r="AM28" t="s">
        <v>91</v>
      </c>
      <c r="AN28" t="s">
        <v>133</v>
      </c>
      <c r="AO28" t="s">
        <v>503</v>
      </c>
      <c r="AP28" t="s">
        <v>74</v>
      </c>
      <c r="AQ28" t="s">
        <v>74</v>
      </c>
      <c r="AR28" t="s">
        <v>504</v>
      </c>
      <c r="AS28" t="s">
        <v>505</v>
      </c>
      <c r="AT28" t="s">
        <v>477</v>
      </c>
      <c r="AU28">
        <v>2002</v>
      </c>
      <c r="AV28">
        <v>185</v>
      </c>
      <c r="AW28" t="s">
        <v>436</v>
      </c>
      <c r="AX28" t="s">
        <v>74</v>
      </c>
      <c r="AY28" t="s">
        <v>74</v>
      </c>
      <c r="AZ28" t="s">
        <v>74</v>
      </c>
      <c r="BA28" t="s">
        <v>74</v>
      </c>
      <c r="BB28">
        <v>195</v>
      </c>
      <c r="BC28">
        <v>205</v>
      </c>
      <c r="BD28" t="s">
        <v>506</v>
      </c>
      <c r="BE28" t="s">
        <v>507</v>
      </c>
      <c r="BF28" t="str">
        <f>HYPERLINK("http://dx.doi.org/10.1016/S0025-3227(02)00191-3","http://dx.doi.org/10.1016/S0025-3227(02)00191-3")</f>
        <v>http://dx.doi.org/10.1016/S0025-3227(02)00191-3</v>
      </c>
      <c r="BG28" t="s">
        <v>74</v>
      </c>
      <c r="BH28" t="s">
        <v>74</v>
      </c>
      <c r="BI28">
        <v>11</v>
      </c>
      <c r="BJ28" t="s">
        <v>508</v>
      </c>
      <c r="BK28" t="s">
        <v>170</v>
      </c>
      <c r="BL28" t="s">
        <v>509</v>
      </c>
      <c r="BM28" t="s">
        <v>510</v>
      </c>
      <c r="BN28" t="s">
        <v>74</v>
      </c>
      <c r="BO28" t="s">
        <v>74</v>
      </c>
      <c r="BP28" t="s">
        <v>74</v>
      </c>
      <c r="BQ28" t="s">
        <v>74</v>
      </c>
      <c r="BR28" t="s">
        <v>107</v>
      </c>
      <c r="BS28" t="s">
        <v>511</v>
      </c>
      <c r="BT28" t="str">
        <f>HYPERLINK("https%3A%2F%2Fwww.webofscience.com%2Fwos%2Fwoscc%2Ffull-record%2FWOS:000176752300002","View Full Record in Web of Science")</f>
        <v>View Full Record in Web of Science</v>
      </c>
    </row>
    <row r="29" spans="1:72" x14ac:dyDescent="0.15">
      <c r="A29" t="s">
        <v>72</v>
      </c>
      <c r="B29" t="s">
        <v>512</v>
      </c>
      <c r="C29" t="s">
        <v>74</v>
      </c>
      <c r="D29" t="s">
        <v>74</v>
      </c>
      <c r="E29" t="s">
        <v>74</v>
      </c>
      <c r="F29" t="s">
        <v>512</v>
      </c>
      <c r="G29" t="s">
        <v>74</v>
      </c>
      <c r="H29" t="s">
        <v>74</v>
      </c>
      <c r="I29" t="s">
        <v>513</v>
      </c>
      <c r="J29" t="s">
        <v>514</v>
      </c>
      <c r="K29" t="s">
        <v>74</v>
      </c>
      <c r="L29" t="s">
        <v>74</v>
      </c>
      <c r="M29" t="s">
        <v>77</v>
      </c>
      <c r="N29" t="s">
        <v>153</v>
      </c>
      <c r="O29" t="s">
        <v>74</v>
      </c>
      <c r="P29" t="s">
        <v>74</v>
      </c>
      <c r="Q29" t="s">
        <v>74</v>
      </c>
      <c r="R29" t="s">
        <v>74</v>
      </c>
      <c r="S29" t="s">
        <v>74</v>
      </c>
      <c r="T29" t="s">
        <v>515</v>
      </c>
      <c r="U29" t="s">
        <v>516</v>
      </c>
      <c r="V29" t="s">
        <v>517</v>
      </c>
      <c r="W29" t="s">
        <v>518</v>
      </c>
      <c r="X29" t="s">
        <v>519</v>
      </c>
      <c r="Y29" t="s">
        <v>520</v>
      </c>
      <c r="Z29" t="s">
        <v>521</v>
      </c>
      <c r="AA29" t="s">
        <v>522</v>
      </c>
      <c r="AB29" t="s">
        <v>74</v>
      </c>
      <c r="AC29" t="s">
        <v>74</v>
      </c>
      <c r="AD29" t="s">
        <v>74</v>
      </c>
      <c r="AE29" t="s">
        <v>74</v>
      </c>
      <c r="AF29" t="s">
        <v>74</v>
      </c>
      <c r="AG29">
        <v>47</v>
      </c>
      <c r="AH29">
        <v>30</v>
      </c>
      <c r="AI29">
        <v>34</v>
      </c>
      <c r="AJ29">
        <v>0</v>
      </c>
      <c r="AK29">
        <v>10</v>
      </c>
      <c r="AL29" t="s">
        <v>523</v>
      </c>
      <c r="AM29" t="s">
        <v>524</v>
      </c>
      <c r="AN29" t="s">
        <v>525</v>
      </c>
      <c r="AO29" t="s">
        <v>526</v>
      </c>
      <c r="AP29" t="s">
        <v>527</v>
      </c>
      <c r="AQ29" t="s">
        <v>74</v>
      </c>
      <c r="AR29" t="s">
        <v>528</v>
      </c>
      <c r="AS29" t="s">
        <v>529</v>
      </c>
      <c r="AT29" t="s">
        <v>530</v>
      </c>
      <c r="AU29">
        <v>2002</v>
      </c>
      <c r="AV29">
        <v>28</v>
      </c>
      <c r="AW29">
        <v>2</v>
      </c>
      <c r="AX29" t="s">
        <v>74</v>
      </c>
      <c r="AY29" t="s">
        <v>74</v>
      </c>
      <c r="AZ29" t="s">
        <v>74</v>
      </c>
      <c r="BA29" t="s">
        <v>74</v>
      </c>
      <c r="BB29">
        <v>167</v>
      </c>
      <c r="BC29">
        <v>174</v>
      </c>
      <c r="BD29" t="s">
        <v>74</v>
      </c>
      <c r="BE29" t="s">
        <v>531</v>
      </c>
      <c r="BF29" t="str">
        <f>HYPERLINK("http://dx.doi.org/10.3354/ame028167","http://dx.doi.org/10.3354/ame028167")</f>
        <v>http://dx.doi.org/10.3354/ame028167</v>
      </c>
      <c r="BG29" t="s">
        <v>74</v>
      </c>
      <c r="BH29" t="s">
        <v>74</v>
      </c>
      <c r="BI29">
        <v>8</v>
      </c>
      <c r="BJ29" t="s">
        <v>532</v>
      </c>
      <c r="BK29" t="s">
        <v>170</v>
      </c>
      <c r="BL29" t="s">
        <v>533</v>
      </c>
      <c r="BM29" t="s">
        <v>534</v>
      </c>
      <c r="BN29" t="s">
        <v>74</v>
      </c>
      <c r="BO29" t="s">
        <v>535</v>
      </c>
      <c r="BP29" t="s">
        <v>74</v>
      </c>
      <c r="BQ29" t="s">
        <v>74</v>
      </c>
      <c r="BR29" t="s">
        <v>107</v>
      </c>
      <c r="BS29" t="s">
        <v>536</v>
      </c>
      <c r="BT29" t="str">
        <f>HYPERLINK("https%3A%2F%2Fwww.webofscience.com%2Fwos%2Fwoscc%2Ffull-record%2FWOS:000176872200006","View Full Record in Web of Science")</f>
        <v>View Full Record in Web of Science</v>
      </c>
    </row>
    <row r="30" spans="1:72" x14ac:dyDescent="0.15">
      <c r="A30" t="s">
        <v>72</v>
      </c>
      <c r="B30" t="s">
        <v>537</v>
      </c>
      <c r="C30" t="s">
        <v>74</v>
      </c>
      <c r="D30" t="s">
        <v>74</v>
      </c>
      <c r="E30" t="s">
        <v>74</v>
      </c>
      <c r="F30" t="s">
        <v>537</v>
      </c>
      <c r="G30" t="s">
        <v>74</v>
      </c>
      <c r="H30" t="s">
        <v>74</v>
      </c>
      <c r="I30" t="s">
        <v>538</v>
      </c>
      <c r="J30" t="s">
        <v>539</v>
      </c>
      <c r="K30" t="s">
        <v>74</v>
      </c>
      <c r="L30" t="s">
        <v>74</v>
      </c>
      <c r="M30" t="s">
        <v>77</v>
      </c>
      <c r="N30" t="s">
        <v>153</v>
      </c>
      <c r="O30" t="s">
        <v>74</v>
      </c>
      <c r="P30" t="s">
        <v>74</v>
      </c>
      <c r="Q30" t="s">
        <v>74</v>
      </c>
      <c r="R30" t="s">
        <v>74</v>
      </c>
      <c r="S30" t="s">
        <v>74</v>
      </c>
      <c r="T30" t="s">
        <v>540</v>
      </c>
      <c r="U30" t="s">
        <v>541</v>
      </c>
      <c r="V30" t="s">
        <v>542</v>
      </c>
      <c r="W30" t="s">
        <v>543</v>
      </c>
      <c r="X30" t="s">
        <v>544</v>
      </c>
      <c r="Y30" t="s">
        <v>545</v>
      </c>
      <c r="Z30" t="s">
        <v>546</v>
      </c>
      <c r="AA30" t="s">
        <v>547</v>
      </c>
      <c r="AB30" t="s">
        <v>548</v>
      </c>
      <c r="AC30" t="s">
        <v>74</v>
      </c>
      <c r="AD30" t="s">
        <v>74</v>
      </c>
      <c r="AE30" t="s">
        <v>74</v>
      </c>
      <c r="AF30" t="s">
        <v>74</v>
      </c>
      <c r="AG30">
        <v>61</v>
      </c>
      <c r="AH30">
        <v>129</v>
      </c>
      <c r="AI30">
        <v>146</v>
      </c>
      <c r="AJ30">
        <v>1</v>
      </c>
      <c r="AK30">
        <v>39</v>
      </c>
      <c r="AL30" t="s">
        <v>90</v>
      </c>
      <c r="AM30" t="s">
        <v>91</v>
      </c>
      <c r="AN30" t="s">
        <v>92</v>
      </c>
      <c r="AO30" t="s">
        <v>549</v>
      </c>
      <c r="AP30" t="s">
        <v>550</v>
      </c>
      <c r="AQ30" t="s">
        <v>74</v>
      </c>
      <c r="AR30" t="s">
        <v>551</v>
      </c>
      <c r="AS30" t="s">
        <v>552</v>
      </c>
      <c r="AT30" t="s">
        <v>553</v>
      </c>
      <c r="AU30">
        <v>2002</v>
      </c>
      <c r="AV30">
        <v>200</v>
      </c>
      <c r="AW30" t="s">
        <v>98</v>
      </c>
      <c r="AX30" t="s">
        <v>74</v>
      </c>
      <c r="AY30" t="s">
        <v>74</v>
      </c>
      <c r="AZ30" t="s">
        <v>74</v>
      </c>
      <c r="BA30" t="s">
        <v>74</v>
      </c>
      <c r="BB30">
        <v>207</v>
      </c>
      <c r="BC30">
        <v>222</v>
      </c>
      <c r="BD30" t="s">
        <v>554</v>
      </c>
      <c r="BE30" t="s">
        <v>555</v>
      </c>
      <c r="BF30" t="str">
        <f>HYPERLINK("http://dx.doi.org/10.1016/S0012-821X(02)00612-X","http://dx.doi.org/10.1016/S0012-821X(02)00612-X")</f>
        <v>http://dx.doi.org/10.1016/S0012-821X(02)00612-X</v>
      </c>
      <c r="BG30" t="s">
        <v>74</v>
      </c>
      <c r="BH30" t="s">
        <v>74</v>
      </c>
      <c r="BI30">
        <v>16</v>
      </c>
      <c r="BJ30" t="s">
        <v>556</v>
      </c>
      <c r="BK30" t="s">
        <v>170</v>
      </c>
      <c r="BL30" t="s">
        <v>556</v>
      </c>
      <c r="BM30" t="s">
        <v>557</v>
      </c>
      <c r="BN30" t="s">
        <v>74</v>
      </c>
      <c r="BO30" t="s">
        <v>74</v>
      </c>
      <c r="BP30" t="s">
        <v>74</v>
      </c>
      <c r="BQ30" t="s">
        <v>74</v>
      </c>
      <c r="BR30" t="s">
        <v>107</v>
      </c>
      <c r="BS30" t="s">
        <v>558</v>
      </c>
      <c r="BT30" t="str">
        <f>HYPERLINK("https%3A%2F%2Fwww.webofscience.com%2Fwos%2Fwoscc%2Ffull-record%2FWOS:000176341100016","View Full Record in Web of Science")</f>
        <v>View Full Record in Web of Science</v>
      </c>
    </row>
    <row r="31" spans="1:72" x14ac:dyDescent="0.15">
      <c r="A31" t="s">
        <v>72</v>
      </c>
      <c r="B31" t="s">
        <v>559</v>
      </c>
      <c r="C31" t="s">
        <v>74</v>
      </c>
      <c r="D31" t="s">
        <v>74</v>
      </c>
      <c r="E31" t="s">
        <v>74</v>
      </c>
      <c r="F31" t="s">
        <v>559</v>
      </c>
      <c r="G31" t="s">
        <v>74</v>
      </c>
      <c r="H31" t="s">
        <v>74</v>
      </c>
      <c r="I31" t="s">
        <v>560</v>
      </c>
      <c r="J31" t="s">
        <v>539</v>
      </c>
      <c r="K31" t="s">
        <v>74</v>
      </c>
      <c r="L31" t="s">
        <v>74</v>
      </c>
      <c r="M31" t="s">
        <v>77</v>
      </c>
      <c r="N31" t="s">
        <v>561</v>
      </c>
      <c r="O31" t="s">
        <v>74</v>
      </c>
      <c r="P31" t="s">
        <v>74</v>
      </c>
      <c r="Q31" t="s">
        <v>74</v>
      </c>
      <c r="R31" t="s">
        <v>74</v>
      </c>
      <c r="S31" t="s">
        <v>74</v>
      </c>
      <c r="T31" t="s">
        <v>74</v>
      </c>
      <c r="U31" t="s">
        <v>74</v>
      </c>
      <c r="V31" t="s">
        <v>74</v>
      </c>
      <c r="W31" t="s">
        <v>562</v>
      </c>
      <c r="X31" t="s">
        <v>563</v>
      </c>
      <c r="Y31" t="s">
        <v>564</v>
      </c>
      <c r="Z31" t="s">
        <v>74</v>
      </c>
      <c r="AA31" t="s">
        <v>565</v>
      </c>
      <c r="AB31" t="s">
        <v>566</v>
      </c>
      <c r="AC31" t="s">
        <v>74</v>
      </c>
      <c r="AD31" t="s">
        <v>74</v>
      </c>
      <c r="AE31" t="s">
        <v>74</v>
      </c>
      <c r="AF31" t="s">
        <v>74</v>
      </c>
      <c r="AG31">
        <v>1</v>
      </c>
      <c r="AH31">
        <v>0</v>
      </c>
      <c r="AI31">
        <v>0</v>
      </c>
      <c r="AJ31">
        <v>0</v>
      </c>
      <c r="AK31">
        <v>2</v>
      </c>
      <c r="AL31" t="s">
        <v>132</v>
      </c>
      <c r="AM31" t="s">
        <v>91</v>
      </c>
      <c r="AN31" t="s">
        <v>133</v>
      </c>
      <c r="AO31" t="s">
        <v>549</v>
      </c>
      <c r="AP31" t="s">
        <v>74</v>
      </c>
      <c r="AQ31" t="s">
        <v>74</v>
      </c>
      <c r="AR31" t="s">
        <v>551</v>
      </c>
      <c r="AS31" t="s">
        <v>552</v>
      </c>
      <c r="AT31" t="s">
        <v>553</v>
      </c>
      <c r="AU31">
        <v>2002</v>
      </c>
      <c r="AV31">
        <v>200</v>
      </c>
      <c r="AW31" t="s">
        <v>98</v>
      </c>
      <c r="AX31" t="s">
        <v>74</v>
      </c>
      <c r="AY31" t="s">
        <v>74</v>
      </c>
      <c r="AZ31" t="s">
        <v>74</v>
      </c>
      <c r="BA31" t="s">
        <v>74</v>
      </c>
      <c r="BB31">
        <v>241</v>
      </c>
      <c r="BC31">
        <v>242</v>
      </c>
      <c r="BD31" t="s">
        <v>567</v>
      </c>
      <c r="BE31" t="s">
        <v>568</v>
      </c>
      <c r="BF31" t="str">
        <f>HYPERLINK("http://dx.doi.org/10.1016/S0012-821X(02)00622-2","http://dx.doi.org/10.1016/S0012-821X(02)00622-2")</f>
        <v>http://dx.doi.org/10.1016/S0012-821X(02)00622-2</v>
      </c>
      <c r="BG31" t="s">
        <v>74</v>
      </c>
      <c r="BH31" t="s">
        <v>74</v>
      </c>
      <c r="BI31">
        <v>2</v>
      </c>
      <c r="BJ31" t="s">
        <v>556</v>
      </c>
      <c r="BK31" t="s">
        <v>170</v>
      </c>
      <c r="BL31" t="s">
        <v>556</v>
      </c>
      <c r="BM31" t="s">
        <v>557</v>
      </c>
      <c r="BN31" t="s">
        <v>74</v>
      </c>
      <c r="BO31" t="s">
        <v>74</v>
      </c>
      <c r="BP31" t="s">
        <v>74</v>
      </c>
      <c r="BQ31" t="s">
        <v>74</v>
      </c>
      <c r="BR31" t="s">
        <v>107</v>
      </c>
      <c r="BS31" t="s">
        <v>569</v>
      </c>
      <c r="BT31" t="str">
        <f>HYPERLINK("https%3A%2F%2Fwww.webofscience.com%2Fwos%2Fwoscc%2Ffull-record%2FWOS:000176341100018","View Full Record in Web of Science")</f>
        <v>View Full Record in Web of Science</v>
      </c>
    </row>
    <row r="32" spans="1:72" x14ac:dyDescent="0.15">
      <c r="A32" t="s">
        <v>72</v>
      </c>
      <c r="B32" t="s">
        <v>570</v>
      </c>
      <c r="C32" t="s">
        <v>74</v>
      </c>
      <c r="D32" t="s">
        <v>74</v>
      </c>
      <c r="E32" t="s">
        <v>74</v>
      </c>
      <c r="F32" t="s">
        <v>570</v>
      </c>
      <c r="G32" t="s">
        <v>74</v>
      </c>
      <c r="H32" t="s">
        <v>74</v>
      </c>
      <c r="I32" t="s">
        <v>571</v>
      </c>
      <c r="J32" t="s">
        <v>572</v>
      </c>
      <c r="K32" t="s">
        <v>74</v>
      </c>
      <c r="L32" t="s">
        <v>74</v>
      </c>
      <c r="M32" t="s">
        <v>77</v>
      </c>
      <c r="N32" t="s">
        <v>153</v>
      </c>
      <c r="O32" t="s">
        <v>74</v>
      </c>
      <c r="P32" t="s">
        <v>74</v>
      </c>
      <c r="Q32" t="s">
        <v>74</v>
      </c>
      <c r="R32" t="s">
        <v>74</v>
      </c>
      <c r="S32" t="s">
        <v>74</v>
      </c>
      <c r="T32" t="s">
        <v>74</v>
      </c>
      <c r="U32" t="s">
        <v>573</v>
      </c>
      <c r="V32" t="s">
        <v>574</v>
      </c>
      <c r="W32" t="s">
        <v>575</v>
      </c>
      <c r="X32" t="s">
        <v>576</v>
      </c>
      <c r="Y32" t="s">
        <v>577</v>
      </c>
      <c r="Z32" t="s">
        <v>578</v>
      </c>
      <c r="AA32" t="s">
        <v>579</v>
      </c>
      <c r="AB32" t="s">
        <v>580</v>
      </c>
      <c r="AC32" t="s">
        <v>74</v>
      </c>
      <c r="AD32" t="s">
        <v>74</v>
      </c>
      <c r="AE32" t="s">
        <v>74</v>
      </c>
      <c r="AF32" t="s">
        <v>74</v>
      </c>
      <c r="AG32">
        <v>41</v>
      </c>
      <c r="AH32">
        <v>11</v>
      </c>
      <c r="AI32">
        <v>14</v>
      </c>
      <c r="AJ32">
        <v>3</v>
      </c>
      <c r="AK32">
        <v>9</v>
      </c>
      <c r="AL32" t="s">
        <v>581</v>
      </c>
      <c r="AM32" t="s">
        <v>162</v>
      </c>
      <c r="AN32" t="s">
        <v>582</v>
      </c>
      <c r="AO32" t="s">
        <v>583</v>
      </c>
      <c r="AP32" t="s">
        <v>584</v>
      </c>
      <c r="AQ32" t="s">
        <v>74</v>
      </c>
      <c r="AR32" t="s">
        <v>585</v>
      </c>
      <c r="AS32" t="s">
        <v>586</v>
      </c>
      <c r="AT32" t="s">
        <v>553</v>
      </c>
      <c r="AU32">
        <v>2002</v>
      </c>
      <c r="AV32">
        <v>106</v>
      </c>
      <c r="AW32">
        <v>24</v>
      </c>
      <c r="AX32" t="s">
        <v>74</v>
      </c>
      <c r="AY32" t="s">
        <v>74</v>
      </c>
      <c r="AZ32" t="s">
        <v>74</v>
      </c>
      <c r="BA32" t="s">
        <v>74</v>
      </c>
      <c r="BB32">
        <v>5891</v>
      </c>
      <c r="BC32">
        <v>5901</v>
      </c>
      <c r="BD32" t="s">
        <v>74</v>
      </c>
      <c r="BE32" t="s">
        <v>587</v>
      </c>
      <c r="BF32" t="str">
        <f>HYPERLINK("http://dx.doi.org/10.1021/jp014383e","http://dx.doi.org/10.1021/jp014383e")</f>
        <v>http://dx.doi.org/10.1021/jp014383e</v>
      </c>
      <c r="BG32" t="s">
        <v>74</v>
      </c>
      <c r="BH32" t="s">
        <v>74</v>
      </c>
      <c r="BI32">
        <v>11</v>
      </c>
      <c r="BJ32" t="s">
        <v>588</v>
      </c>
      <c r="BK32" t="s">
        <v>170</v>
      </c>
      <c r="BL32" t="s">
        <v>589</v>
      </c>
      <c r="BM32" t="s">
        <v>590</v>
      </c>
      <c r="BN32" t="s">
        <v>74</v>
      </c>
      <c r="BO32" t="s">
        <v>74</v>
      </c>
      <c r="BP32" t="s">
        <v>74</v>
      </c>
      <c r="BQ32" t="s">
        <v>74</v>
      </c>
      <c r="BR32" t="s">
        <v>107</v>
      </c>
      <c r="BS32" t="s">
        <v>591</v>
      </c>
      <c r="BT32" t="str">
        <f>HYPERLINK("https%3A%2F%2Fwww.webofscience.com%2Fwos%2Fwoscc%2Ffull-record%2FWOS:000176235000016","View Full Record in Web of Science")</f>
        <v>View Full Record in Web of Science</v>
      </c>
    </row>
    <row r="33" spans="1:72" x14ac:dyDescent="0.15">
      <c r="A33" t="s">
        <v>72</v>
      </c>
      <c r="B33" t="s">
        <v>592</v>
      </c>
      <c r="C33" t="s">
        <v>74</v>
      </c>
      <c r="D33" t="s">
        <v>74</v>
      </c>
      <c r="E33" t="s">
        <v>74</v>
      </c>
      <c r="F33" t="s">
        <v>592</v>
      </c>
      <c r="G33" t="s">
        <v>74</v>
      </c>
      <c r="H33" t="s">
        <v>74</v>
      </c>
      <c r="I33" t="s">
        <v>593</v>
      </c>
      <c r="J33" t="s">
        <v>594</v>
      </c>
      <c r="K33" t="s">
        <v>74</v>
      </c>
      <c r="L33" t="s">
        <v>74</v>
      </c>
      <c r="M33" t="s">
        <v>77</v>
      </c>
      <c r="N33" t="s">
        <v>153</v>
      </c>
      <c r="O33" t="s">
        <v>74</v>
      </c>
      <c r="P33" t="s">
        <v>74</v>
      </c>
      <c r="Q33" t="s">
        <v>74</v>
      </c>
      <c r="R33" t="s">
        <v>74</v>
      </c>
      <c r="S33" t="s">
        <v>74</v>
      </c>
      <c r="T33" t="s">
        <v>74</v>
      </c>
      <c r="U33" t="s">
        <v>595</v>
      </c>
      <c r="V33" t="s">
        <v>596</v>
      </c>
      <c r="W33" t="s">
        <v>597</v>
      </c>
      <c r="X33" t="s">
        <v>598</v>
      </c>
      <c r="Y33" t="s">
        <v>599</v>
      </c>
      <c r="Z33" t="s">
        <v>74</v>
      </c>
      <c r="AA33" t="s">
        <v>600</v>
      </c>
      <c r="AB33" t="s">
        <v>601</v>
      </c>
      <c r="AC33" t="s">
        <v>74</v>
      </c>
      <c r="AD33" t="s">
        <v>74</v>
      </c>
      <c r="AE33" t="s">
        <v>74</v>
      </c>
      <c r="AF33" t="s">
        <v>74</v>
      </c>
      <c r="AG33">
        <v>39</v>
      </c>
      <c r="AH33">
        <v>274</v>
      </c>
      <c r="AI33">
        <v>304</v>
      </c>
      <c r="AJ33">
        <v>1</v>
      </c>
      <c r="AK33">
        <v>51</v>
      </c>
      <c r="AL33" t="s">
        <v>161</v>
      </c>
      <c r="AM33" t="s">
        <v>162</v>
      </c>
      <c r="AN33" t="s">
        <v>163</v>
      </c>
      <c r="AO33" t="s">
        <v>602</v>
      </c>
      <c r="AP33" t="s">
        <v>603</v>
      </c>
      <c r="AQ33" t="s">
        <v>74</v>
      </c>
      <c r="AR33" t="s">
        <v>604</v>
      </c>
      <c r="AS33" t="s">
        <v>605</v>
      </c>
      <c r="AT33" t="s">
        <v>606</v>
      </c>
      <c r="AU33">
        <v>2002</v>
      </c>
      <c r="AV33">
        <v>29</v>
      </c>
      <c r="AW33">
        <v>12</v>
      </c>
      <c r="AX33" t="s">
        <v>74</v>
      </c>
      <c r="AY33" t="s">
        <v>74</v>
      </c>
      <c r="AZ33" t="s">
        <v>74</v>
      </c>
      <c r="BA33" t="s">
        <v>74</v>
      </c>
      <c r="BB33" t="s">
        <v>74</v>
      </c>
      <c r="BC33" t="s">
        <v>74</v>
      </c>
      <c r="BD33">
        <v>1564</v>
      </c>
      <c r="BE33" t="s">
        <v>607</v>
      </c>
      <c r="BF33" t="str">
        <f>HYPERLINK("http://dx.doi.org/10.1029/2001GL014349","http://dx.doi.org/10.1029/2001GL014349")</f>
        <v>http://dx.doi.org/10.1029/2001GL014349</v>
      </c>
      <c r="BG33" t="s">
        <v>74</v>
      </c>
      <c r="BH33" t="s">
        <v>74</v>
      </c>
      <c r="BI33">
        <v>4</v>
      </c>
      <c r="BJ33" t="s">
        <v>608</v>
      </c>
      <c r="BK33" t="s">
        <v>170</v>
      </c>
      <c r="BL33" t="s">
        <v>439</v>
      </c>
      <c r="BM33" t="s">
        <v>609</v>
      </c>
      <c r="BN33" t="s">
        <v>74</v>
      </c>
      <c r="BO33" t="s">
        <v>173</v>
      </c>
      <c r="BP33" t="s">
        <v>74</v>
      </c>
      <c r="BQ33" t="s">
        <v>74</v>
      </c>
      <c r="BR33" t="s">
        <v>107</v>
      </c>
      <c r="BS33" t="s">
        <v>610</v>
      </c>
      <c r="BT33" t="str">
        <f>HYPERLINK("https%3A%2F%2Fwww.webofscience.com%2Fwos%2Fwoscc%2Ffull-record%2FWOS:000178964100059","View Full Record in Web of Science")</f>
        <v>View Full Record in Web of Science</v>
      </c>
    </row>
    <row r="34" spans="1:72" x14ac:dyDescent="0.15">
      <c r="A34" t="s">
        <v>72</v>
      </c>
      <c r="B34" t="s">
        <v>611</v>
      </c>
      <c r="C34" t="s">
        <v>74</v>
      </c>
      <c r="D34" t="s">
        <v>74</v>
      </c>
      <c r="E34" t="s">
        <v>74</v>
      </c>
      <c r="F34" t="s">
        <v>611</v>
      </c>
      <c r="G34" t="s">
        <v>74</v>
      </c>
      <c r="H34" t="s">
        <v>74</v>
      </c>
      <c r="I34" t="s">
        <v>612</v>
      </c>
      <c r="J34" t="s">
        <v>594</v>
      </c>
      <c r="K34" t="s">
        <v>74</v>
      </c>
      <c r="L34" t="s">
        <v>74</v>
      </c>
      <c r="M34" t="s">
        <v>77</v>
      </c>
      <c r="N34" t="s">
        <v>153</v>
      </c>
      <c r="O34" t="s">
        <v>74</v>
      </c>
      <c r="P34" t="s">
        <v>74</v>
      </c>
      <c r="Q34" t="s">
        <v>74</v>
      </c>
      <c r="R34" t="s">
        <v>74</v>
      </c>
      <c r="S34" t="s">
        <v>74</v>
      </c>
      <c r="T34" t="s">
        <v>74</v>
      </c>
      <c r="U34" t="s">
        <v>613</v>
      </c>
      <c r="V34" t="s">
        <v>614</v>
      </c>
      <c r="W34" t="s">
        <v>615</v>
      </c>
      <c r="X34" t="s">
        <v>616</v>
      </c>
      <c r="Y34" t="s">
        <v>617</v>
      </c>
      <c r="Z34" t="s">
        <v>74</v>
      </c>
      <c r="AA34" t="s">
        <v>618</v>
      </c>
      <c r="AB34" t="s">
        <v>619</v>
      </c>
      <c r="AC34" t="s">
        <v>74</v>
      </c>
      <c r="AD34" t="s">
        <v>74</v>
      </c>
      <c r="AE34" t="s">
        <v>74</v>
      </c>
      <c r="AF34" t="s">
        <v>74</v>
      </c>
      <c r="AG34">
        <v>16</v>
      </c>
      <c r="AH34">
        <v>26</v>
      </c>
      <c r="AI34">
        <v>28</v>
      </c>
      <c r="AJ34">
        <v>0</v>
      </c>
      <c r="AK34">
        <v>3</v>
      </c>
      <c r="AL34" t="s">
        <v>161</v>
      </c>
      <c r="AM34" t="s">
        <v>162</v>
      </c>
      <c r="AN34" t="s">
        <v>163</v>
      </c>
      <c r="AO34" t="s">
        <v>602</v>
      </c>
      <c r="AP34" t="s">
        <v>603</v>
      </c>
      <c r="AQ34" t="s">
        <v>74</v>
      </c>
      <c r="AR34" t="s">
        <v>604</v>
      </c>
      <c r="AS34" t="s">
        <v>605</v>
      </c>
      <c r="AT34" t="s">
        <v>606</v>
      </c>
      <c r="AU34">
        <v>2002</v>
      </c>
      <c r="AV34">
        <v>29</v>
      </c>
      <c r="AW34">
        <v>12</v>
      </c>
      <c r="AX34" t="s">
        <v>74</v>
      </c>
      <c r="AY34" t="s">
        <v>74</v>
      </c>
      <c r="AZ34" t="s">
        <v>74</v>
      </c>
      <c r="BA34" t="s">
        <v>74</v>
      </c>
      <c r="BB34" t="s">
        <v>74</v>
      </c>
      <c r="BC34" t="s">
        <v>74</v>
      </c>
      <c r="BD34">
        <v>1622</v>
      </c>
      <c r="BE34" t="s">
        <v>620</v>
      </c>
      <c r="BF34" t="str">
        <f>HYPERLINK("http://dx.doi.org/10.1029/2001GL014175","http://dx.doi.org/10.1029/2001GL014175")</f>
        <v>http://dx.doi.org/10.1029/2001GL014175</v>
      </c>
      <c r="BG34" t="s">
        <v>74</v>
      </c>
      <c r="BH34" t="s">
        <v>74</v>
      </c>
      <c r="BI34">
        <v>4</v>
      </c>
      <c r="BJ34" t="s">
        <v>608</v>
      </c>
      <c r="BK34" t="s">
        <v>170</v>
      </c>
      <c r="BL34" t="s">
        <v>439</v>
      </c>
      <c r="BM34" t="s">
        <v>609</v>
      </c>
      <c r="BN34" t="s">
        <v>74</v>
      </c>
      <c r="BO34" t="s">
        <v>74</v>
      </c>
      <c r="BP34" t="s">
        <v>74</v>
      </c>
      <c r="BQ34" t="s">
        <v>74</v>
      </c>
      <c r="BR34" t="s">
        <v>107</v>
      </c>
      <c r="BS34" t="s">
        <v>621</v>
      </c>
      <c r="BT34" t="str">
        <f>HYPERLINK("https%3A%2F%2Fwww.webofscience.com%2Fwos%2Fwoscc%2Ffull-record%2FWOS:000178964100001","View Full Record in Web of Science")</f>
        <v>View Full Record in Web of Science</v>
      </c>
    </row>
    <row r="35" spans="1:72" x14ac:dyDescent="0.15">
      <c r="A35" t="s">
        <v>72</v>
      </c>
      <c r="B35" t="s">
        <v>622</v>
      </c>
      <c r="C35" t="s">
        <v>74</v>
      </c>
      <c r="D35" t="s">
        <v>74</v>
      </c>
      <c r="E35" t="s">
        <v>74</v>
      </c>
      <c r="F35" t="s">
        <v>622</v>
      </c>
      <c r="G35" t="s">
        <v>74</v>
      </c>
      <c r="H35" t="s">
        <v>74</v>
      </c>
      <c r="I35" t="s">
        <v>623</v>
      </c>
      <c r="J35" t="s">
        <v>594</v>
      </c>
      <c r="K35" t="s">
        <v>74</v>
      </c>
      <c r="L35" t="s">
        <v>74</v>
      </c>
      <c r="M35" t="s">
        <v>77</v>
      </c>
      <c r="N35" t="s">
        <v>561</v>
      </c>
      <c r="O35" t="s">
        <v>74</v>
      </c>
      <c r="P35" t="s">
        <v>74</v>
      </c>
      <c r="Q35" t="s">
        <v>74</v>
      </c>
      <c r="R35" t="s">
        <v>74</v>
      </c>
      <c r="S35" t="s">
        <v>74</v>
      </c>
      <c r="T35" t="s">
        <v>74</v>
      </c>
      <c r="U35" t="s">
        <v>74</v>
      </c>
      <c r="V35" t="s">
        <v>74</v>
      </c>
      <c r="W35" t="s">
        <v>74</v>
      </c>
      <c r="X35" t="s">
        <v>74</v>
      </c>
      <c r="Y35" t="s">
        <v>74</v>
      </c>
      <c r="Z35" t="s">
        <v>74</v>
      </c>
      <c r="AA35" t="s">
        <v>74</v>
      </c>
      <c r="AB35" t="s">
        <v>74</v>
      </c>
      <c r="AC35" t="s">
        <v>74</v>
      </c>
      <c r="AD35" t="s">
        <v>74</v>
      </c>
      <c r="AE35" t="s">
        <v>74</v>
      </c>
      <c r="AF35" t="s">
        <v>74</v>
      </c>
      <c r="AG35">
        <v>1</v>
      </c>
      <c r="AH35">
        <v>0</v>
      </c>
      <c r="AI35">
        <v>0</v>
      </c>
      <c r="AJ35">
        <v>0</v>
      </c>
      <c r="AK35">
        <v>2</v>
      </c>
      <c r="AL35" t="s">
        <v>161</v>
      </c>
      <c r="AM35" t="s">
        <v>162</v>
      </c>
      <c r="AN35" t="s">
        <v>163</v>
      </c>
      <c r="AO35" t="s">
        <v>602</v>
      </c>
      <c r="AP35" t="s">
        <v>74</v>
      </c>
      <c r="AQ35" t="s">
        <v>74</v>
      </c>
      <c r="AR35" t="s">
        <v>604</v>
      </c>
      <c r="AS35" t="s">
        <v>605</v>
      </c>
      <c r="AT35" t="s">
        <v>606</v>
      </c>
      <c r="AU35">
        <v>2002</v>
      </c>
      <c r="AV35">
        <v>29</v>
      </c>
      <c r="AW35">
        <v>12</v>
      </c>
      <c r="AX35" t="s">
        <v>74</v>
      </c>
      <c r="AY35" t="s">
        <v>74</v>
      </c>
      <c r="AZ35" t="s">
        <v>74</v>
      </c>
      <c r="BA35" t="s">
        <v>74</v>
      </c>
      <c r="BB35" t="s">
        <v>74</v>
      </c>
      <c r="BC35" t="s">
        <v>74</v>
      </c>
      <c r="BD35">
        <v>1587</v>
      </c>
      <c r="BE35" t="s">
        <v>624</v>
      </c>
      <c r="BF35" t="str">
        <f>HYPERLINK("http://dx.doi.org/10.1029/2002GL015583","http://dx.doi.org/10.1029/2002GL015583")</f>
        <v>http://dx.doi.org/10.1029/2002GL015583</v>
      </c>
      <c r="BG35" t="s">
        <v>74</v>
      </c>
      <c r="BH35" t="s">
        <v>74</v>
      </c>
      <c r="BI35">
        <v>1</v>
      </c>
      <c r="BJ35" t="s">
        <v>608</v>
      </c>
      <c r="BK35" t="s">
        <v>170</v>
      </c>
      <c r="BL35" t="s">
        <v>439</v>
      </c>
      <c r="BM35" t="s">
        <v>609</v>
      </c>
      <c r="BN35" t="s">
        <v>74</v>
      </c>
      <c r="BO35" t="s">
        <v>173</v>
      </c>
      <c r="BP35" t="s">
        <v>74</v>
      </c>
      <c r="BQ35" t="s">
        <v>74</v>
      </c>
      <c r="BR35" t="s">
        <v>107</v>
      </c>
      <c r="BS35" t="s">
        <v>625</v>
      </c>
      <c r="BT35" t="str">
        <f>HYPERLINK("https%3A%2F%2Fwww.webofscience.com%2Fwos%2Fwoscc%2Ffull-record%2FWOS:000178964100036","View Full Record in Web of Science")</f>
        <v>View Full Record in Web of Science</v>
      </c>
    </row>
    <row r="36" spans="1:72" x14ac:dyDescent="0.15">
      <c r="A36" t="s">
        <v>72</v>
      </c>
      <c r="B36" t="s">
        <v>626</v>
      </c>
      <c r="C36" t="s">
        <v>74</v>
      </c>
      <c r="D36" t="s">
        <v>74</v>
      </c>
      <c r="E36" t="s">
        <v>74</v>
      </c>
      <c r="F36" t="s">
        <v>626</v>
      </c>
      <c r="G36" t="s">
        <v>74</v>
      </c>
      <c r="H36" t="s">
        <v>74</v>
      </c>
      <c r="I36" t="s">
        <v>627</v>
      </c>
      <c r="J36" t="s">
        <v>424</v>
      </c>
      <c r="K36" t="s">
        <v>74</v>
      </c>
      <c r="L36" t="s">
        <v>74</v>
      </c>
      <c r="M36" t="s">
        <v>77</v>
      </c>
      <c r="N36" t="s">
        <v>78</v>
      </c>
      <c r="O36" t="s">
        <v>628</v>
      </c>
      <c r="P36" t="s">
        <v>629</v>
      </c>
      <c r="Q36" t="s">
        <v>630</v>
      </c>
      <c r="R36" t="s">
        <v>74</v>
      </c>
      <c r="S36" t="s">
        <v>631</v>
      </c>
      <c r="T36" t="s">
        <v>632</v>
      </c>
      <c r="U36" t="s">
        <v>633</v>
      </c>
      <c r="V36" t="s">
        <v>634</v>
      </c>
      <c r="W36" t="s">
        <v>635</v>
      </c>
      <c r="X36" t="s">
        <v>636</v>
      </c>
      <c r="Y36" t="s">
        <v>637</v>
      </c>
      <c r="Z36" t="s">
        <v>638</v>
      </c>
      <c r="AA36" t="s">
        <v>639</v>
      </c>
      <c r="AB36" t="s">
        <v>74</v>
      </c>
      <c r="AC36" t="s">
        <v>74</v>
      </c>
      <c r="AD36" t="s">
        <v>74</v>
      </c>
      <c r="AE36" t="s">
        <v>74</v>
      </c>
      <c r="AF36" t="s">
        <v>74</v>
      </c>
      <c r="AG36">
        <v>61</v>
      </c>
      <c r="AH36">
        <v>43</v>
      </c>
      <c r="AI36">
        <v>47</v>
      </c>
      <c r="AJ36">
        <v>0</v>
      </c>
      <c r="AK36">
        <v>5</v>
      </c>
      <c r="AL36" t="s">
        <v>132</v>
      </c>
      <c r="AM36" t="s">
        <v>91</v>
      </c>
      <c r="AN36" t="s">
        <v>133</v>
      </c>
      <c r="AO36" t="s">
        <v>432</v>
      </c>
      <c r="AP36" t="s">
        <v>433</v>
      </c>
      <c r="AQ36" t="s">
        <v>74</v>
      </c>
      <c r="AR36" t="s">
        <v>434</v>
      </c>
      <c r="AS36" t="s">
        <v>435</v>
      </c>
      <c r="AT36" t="s">
        <v>606</v>
      </c>
      <c r="AU36">
        <v>2002</v>
      </c>
      <c r="AV36">
        <v>150</v>
      </c>
      <c r="AW36" t="s">
        <v>98</v>
      </c>
      <c r="AX36" t="s">
        <v>74</v>
      </c>
      <c r="AY36" t="s">
        <v>74</v>
      </c>
      <c r="AZ36" t="s">
        <v>99</v>
      </c>
      <c r="BA36" t="s">
        <v>74</v>
      </c>
      <c r="BB36">
        <v>185</v>
      </c>
      <c r="BC36">
        <v>201</v>
      </c>
      <c r="BD36" t="s">
        <v>640</v>
      </c>
      <c r="BE36" t="s">
        <v>641</v>
      </c>
      <c r="BF36" t="str">
        <f>HYPERLINK("http://dx.doi.org/10.1016/S0037-0738(01)00275-5","http://dx.doi.org/10.1016/S0037-0738(01)00275-5")</f>
        <v>http://dx.doi.org/10.1016/S0037-0738(01)00275-5</v>
      </c>
      <c r="BG36" t="s">
        <v>74</v>
      </c>
      <c r="BH36" t="s">
        <v>74</v>
      </c>
      <c r="BI36">
        <v>17</v>
      </c>
      <c r="BJ36" t="s">
        <v>439</v>
      </c>
      <c r="BK36" t="s">
        <v>103</v>
      </c>
      <c r="BL36" t="s">
        <v>439</v>
      </c>
      <c r="BM36" t="s">
        <v>642</v>
      </c>
      <c r="BN36" t="s">
        <v>74</v>
      </c>
      <c r="BO36" t="s">
        <v>74</v>
      </c>
      <c r="BP36" t="s">
        <v>74</v>
      </c>
      <c r="BQ36" t="s">
        <v>74</v>
      </c>
      <c r="BR36" t="s">
        <v>107</v>
      </c>
      <c r="BS36" t="s">
        <v>643</v>
      </c>
      <c r="BT36" t="str">
        <f>HYPERLINK("https%3A%2F%2Fwww.webofscience.com%2Fwos%2Fwoscc%2Ffull-record%2FWOS:000176310200013","View Full Record in Web of Science")</f>
        <v>View Full Record in Web of Science</v>
      </c>
    </row>
    <row r="37" spans="1:72" x14ac:dyDescent="0.15">
      <c r="A37" t="s">
        <v>72</v>
      </c>
      <c r="B37" t="s">
        <v>644</v>
      </c>
      <c r="C37" t="s">
        <v>74</v>
      </c>
      <c r="D37" t="s">
        <v>74</v>
      </c>
      <c r="E37" t="s">
        <v>74</v>
      </c>
      <c r="F37" t="s">
        <v>644</v>
      </c>
      <c r="G37" t="s">
        <v>74</v>
      </c>
      <c r="H37" t="s">
        <v>74</v>
      </c>
      <c r="I37" t="s">
        <v>645</v>
      </c>
      <c r="J37" t="s">
        <v>646</v>
      </c>
      <c r="K37" t="s">
        <v>74</v>
      </c>
      <c r="L37" t="s">
        <v>74</v>
      </c>
      <c r="M37" t="s">
        <v>77</v>
      </c>
      <c r="N37" t="s">
        <v>153</v>
      </c>
      <c r="O37" t="s">
        <v>74</v>
      </c>
      <c r="P37" t="s">
        <v>74</v>
      </c>
      <c r="Q37" t="s">
        <v>74</v>
      </c>
      <c r="R37" t="s">
        <v>74</v>
      </c>
      <c r="S37" t="s">
        <v>74</v>
      </c>
      <c r="T37" t="s">
        <v>74</v>
      </c>
      <c r="U37" t="s">
        <v>647</v>
      </c>
      <c r="V37" t="s">
        <v>648</v>
      </c>
      <c r="W37" t="s">
        <v>649</v>
      </c>
      <c r="X37" t="s">
        <v>650</v>
      </c>
      <c r="Y37" t="s">
        <v>651</v>
      </c>
      <c r="Z37" t="s">
        <v>652</v>
      </c>
      <c r="AA37" t="s">
        <v>653</v>
      </c>
      <c r="AB37" t="s">
        <v>654</v>
      </c>
      <c r="AC37" t="s">
        <v>74</v>
      </c>
      <c r="AD37" t="s">
        <v>74</v>
      </c>
      <c r="AE37" t="s">
        <v>74</v>
      </c>
      <c r="AF37" t="s">
        <v>74</v>
      </c>
      <c r="AG37">
        <v>40</v>
      </c>
      <c r="AH37">
        <v>398</v>
      </c>
      <c r="AI37">
        <v>452</v>
      </c>
      <c r="AJ37">
        <v>1</v>
      </c>
      <c r="AK37">
        <v>89</v>
      </c>
      <c r="AL37" t="s">
        <v>655</v>
      </c>
      <c r="AM37" t="s">
        <v>162</v>
      </c>
      <c r="AN37" t="s">
        <v>656</v>
      </c>
      <c r="AO37" t="s">
        <v>657</v>
      </c>
      <c r="AP37" t="s">
        <v>658</v>
      </c>
      <c r="AQ37" t="s">
        <v>74</v>
      </c>
      <c r="AR37" t="s">
        <v>646</v>
      </c>
      <c r="AS37" t="s">
        <v>659</v>
      </c>
      <c r="AT37" t="s">
        <v>660</v>
      </c>
      <c r="AU37">
        <v>2002</v>
      </c>
      <c r="AV37">
        <v>296</v>
      </c>
      <c r="AW37">
        <v>5575</v>
      </c>
      <c r="AX37" t="s">
        <v>74</v>
      </c>
      <c r="AY37" t="s">
        <v>74</v>
      </c>
      <c r="AZ37" t="s">
        <v>74</v>
      </c>
      <c r="BA37" t="s">
        <v>74</v>
      </c>
      <c r="BB37">
        <v>2020</v>
      </c>
      <c r="BC37">
        <v>2023</v>
      </c>
      <c r="BD37" t="s">
        <v>74</v>
      </c>
      <c r="BE37" t="s">
        <v>661</v>
      </c>
      <c r="BF37" t="str">
        <f>HYPERLINK("http://dx.doi.org/10.1126/science.1070942","http://dx.doi.org/10.1126/science.1070942")</f>
        <v>http://dx.doi.org/10.1126/science.1070942</v>
      </c>
      <c r="BG37" t="s">
        <v>74</v>
      </c>
      <c r="BH37" t="s">
        <v>74</v>
      </c>
      <c r="BI37">
        <v>4</v>
      </c>
      <c r="BJ37" t="s">
        <v>662</v>
      </c>
      <c r="BK37" t="s">
        <v>170</v>
      </c>
      <c r="BL37" t="s">
        <v>663</v>
      </c>
      <c r="BM37" t="s">
        <v>664</v>
      </c>
      <c r="BN37">
        <v>12065835</v>
      </c>
      <c r="BO37" t="s">
        <v>665</v>
      </c>
      <c r="BP37" t="s">
        <v>74</v>
      </c>
      <c r="BQ37" t="s">
        <v>74</v>
      </c>
      <c r="BR37" t="s">
        <v>107</v>
      </c>
      <c r="BS37" t="s">
        <v>666</v>
      </c>
      <c r="BT37" t="str">
        <f>HYPERLINK("https%3A%2F%2Fwww.webofscience.com%2Fwos%2Fwoscc%2Ffull-record%2FWOS:000176273300051","View Full Record in Web of Science")</f>
        <v>View Full Record in Web of Science</v>
      </c>
    </row>
    <row r="38" spans="1:72" x14ac:dyDescent="0.15">
      <c r="A38" t="s">
        <v>72</v>
      </c>
      <c r="B38" t="s">
        <v>667</v>
      </c>
      <c r="C38" t="s">
        <v>74</v>
      </c>
      <c r="D38" t="s">
        <v>74</v>
      </c>
      <c r="E38" t="s">
        <v>74</v>
      </c>
      <c r="F38" t="s">
        <v>667</v>
      </c>
      <c r="G38" t="s">
        <v>74</v>
      </c>
      <c r="H38" t="s">
        <v>74</v>
      </c>
      <c r="I38" t="s">
        <v>668</v>
      </c>
      <c r="J38" t="s">
        <v>669</v>
      </c>
      <c r="K38" t="s">
        <v>74</v>
      </c>
      <c r="L38" t="s">
        <v>74</v>
      </c>
      <c r="M38" t="s">
        <v>77</v>
      </c>
      <c r="N38" t="s">
        <v>153</v>
      </c>
      <c r="O38" t="s">
        <v>74</v>
      </c>
      <c r="P38" t="s">
        <v>74</v>
      </c>
      <c r="Q38" t="s">
        <v>74</v>
      </c>
      <c r="R38" t="s">
        <v>74</v>
      </c>
      <c r="S38" t="s">
        <v>74</v>
      </c>
      <c r="T38" t="s">
        <v>74</v>
      </c>
      <c r="U38" t="s">
        <v>670</v>
      </c>
      <c r="V38" t="s">
        <v>671</v>
      </c>
      <c r="W38" t="s">
        <v>672</v>
      </c>
      <c r="X38" t="s">
        <v>673</v>
      </c>
      <c r="Y38" t="s">
        <v>674</v>
      </c>
      <c r="Z38" t="s">
        <v>675</v>
      </c>
      <c r="AA38" t="s">
        <v>676</v>
      </c>
      <c r="AB38" t="s">
        <v>677</v>
      </c>
      <c r="AC38" t="s">
        <v>74</v>
      </c>
      <c r="AD38" t="s">
        <v>74</v>
      </c>
      <c r="AE38" t="s">
        <v>74</v>
      </c>
      <c r="AF38" t="s">
        <v>74</v>
      </c>
      <c r="AG38">
        <v>22</v>
      </c>
      <c r="AH38">
        <v>87</v>
      </c>
      <c r="AI38">
        <v>101</v>
      </c>
      <c r="AJ38">
        <v>0</v>
      </c>
      <c r="AK38">
        <v>12</v>
      </c>
      <c r="AL38" t="s">
        <v>678</v>
      </c>
      <c r="AM38" t="s">
        <v>162</v>
      </c>
      <c r="AN38" t="s">
        <v>679</v>
      </c>
      <c r="AO38" t="s">
        <v>680</v>
      </c>
      <c r="AP38" t="s">
        <v>74</v>
      </c>
      <c r="AQ38" t="s">
        <v>74</v>
      </c>
      <c r="AR38" t="s">
        <v>681</v>
      </c>
      <c r="AS38" t="s">
        <v>682</v>
      </c>
      <c r="AT38" t="s">
        <v>683</v>
      </c>
      <c r="AU38">
        <v>2002</v>
      </c>
      <c r="AV38">
        <v>99</v>
      </c>
      <c r="AW38">
        <v>12</v>
      </c>
      <c r="AX38" t="s">
        <v>74</v>
      </c>
      <c r="AY38" t="s">
        <v>74</v>
      </c>
      <c r="AZ38" t="s">
        <v>74</v>
      </c>
      <c r="BA38" t="s">
        <v>74</v>
      </c>
      <c r="BB38">
        <v>7844</v>
      </c>
      <c r="BC38">
        <v>7847</v>
      </c>
      <c r="BD38" t="s">
        <v>74</v>
      </c>
      <c r="BE38" t="s">
        <v>684</v>
      </c>
      <c r="BF38" t="str">
        <f>HYPERLINK("http://dx.doi.org/10.1073/pnas.082238999","http://dx.doi.org/10.1073/pnas.082238999")</f>
        <v>http://dx.doi.org/10.1073/pnas.082238999</v>
      </c>
      <c r="BG38" t="s">
        <v>74</v>
      </c>
      <c r="BH38" t="s">
        <v>74</v>
      </c>
      <c r="BI38">
        <v>4</v>
      </c>
      <c r="BJ38" t="s">
        <v>662</v>
      </c>
      <c r="BK38" t="s">
        <v>170</v>
      </c>
      <c r="BL38" t="s">
        <v>663</v>
      </c>
      <c r="BM38" t="s">
        <v>685</v>
      </c>
      <c r="BN38">
        <v>12060731</v>
      </c>
      <c r="BO38" t="s">
        <v>106</v>
      </c>
      <c r="BP38" t="s">
        <v>74</v>
      </c>
      <c r="BQ38" t="s">
        <v>74</v>
      </c>
      <c r="BR38" t="s">
        <v>107</v>
      </c>
      <c r="BS38" t="s">
        <v>686</v>
      </c>
      <c r="BT38" t="str">
        <f>HYPERLINK("https%3A%2F%2Fwww.webofscience.com%2Fwos%2Fwoscc%2Ffull-record%2FWOS:000176217700010","View Full Record in Web of Science")</f>
        <v>View Full Record in Web of Science</v>
      </c>
    </row>
    <row r="39" spans="1:72" x14ac:dyDescent="0.15">
      <c r="A39" t="s">
        <v>72</v>
      </c>
      <c r="B39" t="s">
        <v>687</v>
      </c>
      <c r="C39" t="s">
        <v>74</v>
      </c>
      <c r="D39" t="s">
        <v>74</v>
      </c>
      <c r="E39" t="s">
        <v>74</v>
      </c>
      <c r="F39" t="s">
        <v>687</v>
      </c>
      <c r="G39" t="s">
        <v>74</v>
      </c>
      <c r="H39" t="s">
        <v>74</v>
      </c>
      <c r="I39" t="s">
        <v>688</v>
      </c>
      <c r="J39" t="s">
        <v>539</v>
      </c>
      <c r="K39" t="s">
        <v>74</v>
      </c>
      <c r="L39" t="s">
        <v>74</v>
      </c>
      <c r="M39" t="s">
        <v>77</v>
      </c>
      <c r="N39" t="s">
        <v>153</v>
      </c>
      <c r="O39" t="s">
        <v>74</v>
      </c>
      <c r="P39" t="s">
        <v>74</v>
      </c>
      <c r="Q39" t="s">
        <v>74</v>
      </c>
      <c r="R39" t="s">
        <v>74</v>
      </c>
      <c r="S39" t="s">
        <v>74</v>
      </c>
      <c r="T39" t="s">
        <v>689</v>
      </c>
      <c r="U39" t="s">
        <v>690</v>
      </c>
      <c r="V39" t="s">
        <v>691</v>
      </c>
      <c r="W39" t="s">
        <v>692</v>
      </c>
      <c r="X39" t="s">
        <v>693</v>
      </c>
      <c r="Y39" t="s">
        <v>694</v>
      </c>
      <c r="Z39" t="s">
        <v>695</v>
      </c>
      <c r="AA39" t="s">
        <v>696</v>
      </c>
      <c r="AB39" t="s">
        <v>697</v>
      </c>
      <c r="AC39" t="s">
        <v>74</v>
      </c>
      <c r="AD39" t="s">
        <v>74</v>
      </c>
      <c r="AE39" t="s">
        <v>74</v>
      </c>
      <c r="AF39" t="s">
        <v>74</v>
      </c>
      <c r="AG39">
        <v>50</v>
      </c>
      <c r="AH39">
        <v>18</v>
      </c>
      <c r="AI39">
        <v>20</v>
      </c>
      <c r="AJ39">
        <v>0</v>
      </c>
      <c r="AK39">
        <v>2</v>
      </c>
      <c r="AL39" t="s">
        <v>132</v>
      </c>
      <c r="AM39" t="s">
        <v>91</v>
      </c>
      <c r="AN39" t="s">
        <v>133</v>
      </c>
      <c r="AO39" t="s">
        <v>549</v>
      </c>
      <c r="AP39" t="s">
        <v>550</v>
      </c>
      <c r="AQ39" t="s">
        <v>74</v>
      </c>
      <c r="AR39" t="s">
        <v>551</v>
      </c>
      <c r="AS39" t="s">
        <v>552</v>
      </c>
      <c r="AT39" t="s">
        <v>698</v>
      </c>
      <c r="AU39">
        <v>2002</v>
      </c>
      <c r="AV39">
        <v>199</v>
      </c>
      <c r="AW39" t="s">
        <v>436</v>
      </c>
      <c r="AX39" t="s">
        <v>74</v>
      </c>
      <c r="AY39" t="s">
        <v>74</v>
      </c>
      <c r="AZ39" t="s">
        <v>74</v>
      </c>
      <c r="BA39" t="s">
        <v>74</v>
      </c>
      <c r="BB39">
        <v>415</v>
      </c>
      <c r="BC39">
        <v>428</v>
      </c>
      <c r="BD39" t="s">
        <v>699</v>
      </c>
      <c r="BE39" t="s">
        <v>700</v>
      </c>
      <c r="BF39" t="str">
        <f>HYPERLINK("http://dx.doi.org/10.1016/S0012-821X(02)00567-8","http://dx.doi.org/10.1016/S0012-821X(02)00567-8")</f>
        <v>http://dx.doi.org/10.1016/S0012-821X(02)00567-8</v>
      </c>
      <c r="BG39" t="s">
        <v>74</v>
      </c>
      <c r="BH39" t="s">
        <v>74</v>
      </c>
      <c r="BI39">
        <v>14</v>
      </c>
      <c r="BJ39" t="s">
        <v>556</v>
      </c>
      <c r="BK39" t="s">
        <v>170</v>
      </c>
      <c r="BL39" t="s">
        <v>556</v>
      </c>
      <c r="BM39" t="s">
        <v>701</v>
      </c>
      <c r="BN39" t="s">
        <v>74</v>
      </c>
      <c r="BO39" t="s">
        <v>74</v>
      </c>
      <c r="BP39" t="s">
        <v>74</v>
      </c>
      <c r="BQ39" t="s">
        <v>74</v>
      </c>
      <c r="BR39" t="s">
        <v>107</v>
      </c>
      <c r="BS39" t="s">
        <v>702</v>
      </c>
      <c r="BT39" t="str">
        <f>HYPERLINK("https%3A%2F%2Fwww.webofscience.com%2Fwos%2Fwoscc%2Ffull-record%2FWOS:000176293300012","View Full Record in Web of Science")</f>
        <v>View Full Record in Web of Science</v>
      </c>
    </row>
    <row r="40" spans="1:72" x14ac:dyDescent="0.15">
      <c r="A40" t="s">
        <v>72</v>
      </c>
      <c r="B40" t="s">
        <v>703</v>
      </c>
      <c r="C40" t="s">
        <v>74</v>
      </c>
      <c r="D40" t="s">
        <v>74</v>
      </c>
      <c r="E40" t="s">
        <v>74</v>
      </c>
      <c r="F40" t="s">
        <v>703</v>
      </c>
      <c r="G40" t="s">
        <v>74</v>
      </c>
      <c r="H40" t="s">
        <v>74</v>
      </c>
      <c r="I40" t="s">
        <v>704</v>
      </c>
      <c r="J40" t="s">
        <v>705</v>
      </c>
      <c r="K40" t="s">
        <v>74</v>
      </c>
      <c r="L40" t="s">
        <v>74</v>
      </c>
      <c r="M40" t="s">
        <v>77</v>
      </c>
      <c r="N40" t="s">
        <v>153</v>
      </c>
      <c r="O40" t="s">
        <v>74</v>
      </c>
      <c r="P40" t="s">
        <v>74</v>
      </c>
      <c r="Q40" t="s">
        <v>74</v>
      </c>
      <c r="R40" t="s">
        <v>74</v>
      </c>
      <c r="S40" t="s">
        <v>74</v>
      </c>
      <c r="T40" t="s">
        <v>706</v>
      </c>
      <c r="U40" t="s">
        <v>707</v>
      </c>
      <c r="V40" t="s">
        <v>708</v>
      </c>
      <c r="W40" t="s">
        <v>709</v>
      </c>
      <c r="X40" t="s">
        <v>710</v>
      </c>
      <c r="Y40" t="s">
        <v>711</v>
      </c>
      <c r="Z40" t="s">
        <v>74</v>
      </c>
      <c r="AA40" t="s">
        <v>74</v>
      </c>
      <c r="AB40" t="s">
        <v>74</v>
      </c>
      <c r="AC40" t="s">
        <v>74</v>
      </c>
      <c r="AD40" t="s">
        <v>74</v>
      </c>
      <c r="AE40" t="s">
        <v>74</v>
      </c>
      <c r="AF40" t="s">
        <v>74</v>
      </c>
      <c r="AG40">
        <v>19</v>
      </c>
      <c r="AH40">
        <v>7</v>
      </c>
      <c r="AI40">
        <v>9</v>
      </c>
      <c r="AJ40">
        <v>0</v>
      </c>
      <c r="AK40">
        <v>2</v>
      </c>
      <c r="AL40" t="s">
        <v>712</v>
      </c>
      <c r="AM40" t="s">
        <v>713</v>
      </c>
      <c r="AN40" t="s">
        <v>714</v>
      </c>
      <c r="AO40" t="s">
        <v>715</v>
      </c>
      <c r="AP40" t="s">
        <v>74</v>
      </c>
      <c r="AQ40" t="s">
        <v>74</v>
      </c>
      <c r="AR40" t="s">
        <v>716</v>
      </c>
      <c r="AS40" t="s">
        <v>717</v>
      </c>
      <c r="AT40" t="s">
        <v>718</v>
      </c>
      <c r="AU40">
        <v>2002</v>
      </c>
      <c r="AV40">
        <v>47</v>
      </c>
      <c r="AW40">
        <v>2</v>
      </c>
      <c r="AX40" t="s">
        <v>74</v>
      </c>
      <c r="AY40" t="s">
        <v>74</v>
      </c>
      <c r="AZ40" t="s">
        <v>74</v>
      </c>
      <c r="BA40" t="s">
        <v>74</v>
      </c>
      <c r="BB40">
        <v>154</v>
      </c>
      <c r="BC40">
        <v>158</v>
      </c>
      <c r="BD40" t="s">
        <v>74</v>
      </c>
      <c r="BE40" t="s">
        <v>74</v>
      </c>
      <c r="BF40" t="s">
        <v>74</v>
      </c>
      <c r="BG40" t="s">
        <v>74</v>
      </c>
      <c r="BH40" t="s">
        <v>74</v>
      </c>
      <c r="BI40">
        <v>5</v>
      </c>
      <c r="BJ40" t="s">
        <v>719</v>
      </c>
      <c r="BK40" t="s">
        <v>170</v>
      </c>
      <c r="BL40" t="s">
        <v>719</v>
      </c>
      <c r="BM40" t="s">
        <v>720</v>
      </c>
      <c r="BN40" t="s">
        <v>74</v>
      </c>
      <c r="BO40" t="s">
        <v>74</v>
      </c>
      <c r="BP40" t="s">
        <v>74</v>
      </c>
      <c r="BQ40" t="s">
        <v>74</v>
      </c>
      <c r="BR40" t="s">
        <v>107</v>
      </c>
      <c r="BS40" t="s">
        <v>721</v>
      </c>
      <c r="BT40" t="str">
        <f>HYPERLINK("https%3A%2F%2Fwww.webofscience.com%2Fwos%2Fwoscc%2Ffull-record%2FWOS:000177076400007","View Full Record in Web of Science")</f>
        <v>View Full Record in Web of Science</v>
      </c>
    </row>
    <row r="41" spans="1:72" x14ac:dyDescent="0.15">
      <c r="A41" t="s">
        <v>72</v>
      </c>
      <c r="B41" t="s">
        <v>703</v>
      </c>
      <c r="C41" t="s">
        <v>74</v>
      </c>
      <c r="D41" t="s">
        <v>74</v>
      </c>
      <c r="E41" t="s">
        <v>74</v>
      </c>
      <c r="F41" t="s">
        <v>703</v>
      </c>
      <c r="G41" t="s">
        <v>74</v>
      </c>
      <c r="H41" t="s">
        <v>74</v>
      </c>
      <c r="I41" t="s">
        <v>722</v>
      </c>
      <c r="J41" t="s">
        <v>705</v>
      </c>
      <c r="K41" t="s">
        <v>74</v>
      </c>
      <c r="L41" t="s">
        <v>74</v>
      </c>
      <c r="M41" t="s">
        <v>77</v>
      </c>
      <c r="N41" t="s">
        <v>153</v>
      </c>
      <c r="O41" t="s">
        <v>74</v>
      </c>
      <c r="P41" t="s">
        <v>74</v>
      </c>
      <c r="Q41" t="s">
        <v>74</v>
      </c>
      <c r="R41" t="s">
        <v>74</v>
      </c>
      <c r="S41" t="s">
        <v>74</v>
      </c>
      <c r="T41" t="s">
        <v>723</v>
      </c>
      <c r="U41" t="s">
        <v>74</v>
      </c>
      <c r="V41" t="s">
        <v>724</v>
      </c>
      <c r="W41" t="s">
        <v>709</v>
      </c>
      <c r="X41" t="s">
        <v>710</v>
      </c>
      <c r="Y41" t="s">
        <v>711</v>
      </c>
      <c r="Z41" t="s">
        <v>74</v>
      </c>
      <c r="AA41" t="s">
        <v>74</v>
      </c>
      <c r="AB41" t="s">
        <v>74</v>
      </c>
      <c r="AC41" t="s">
        <v>74</v>
      </c>
      <c r="AD41" t="s">
        <v>74</v>
      </c>
      <c r="AE41" t="s">
        <v>74</v>
      </c>
      <c r="AF41" t="s">
        <v>74</v>
      </c>
      <c r="AG41">
        <v>20</v>
      </c>
      <c r="AH41">
        <v>6</v>
      </c>
      <c r="AI41">
        <v>7</v>
      </c>
      <c r="AJ41">
        <v>0</v>
      </c>
      <c r="AK41">
        <v>1</v>
      </c>
      <c r="AL41" t="s">
        <v>712</v>
      </c>
      <c r="AM41" t="s">
        <v>713</v>
      </c>
      <c r="AN41" t="s">
        <v>714</v>
      </c>
      <c r="AO41" t="s">
        <v>715</v>
      </c>
      <c r="AP41" t="s">
        <v>74</v>
      </c>
      <c r="AQ41" t="s">
        <v>74</v>
      </c>
      <c r="AR41" t="s">
        <v>716</v>
      </c>
      <c r="AS41" t="s">
        <v>717</v>
      </c>
      <c r="AT41" t="s">
        <v>718</v>
      </c>
      <c r="AU41">
        <v>2002</v>
      </c>
      <c r="AV41">
        <v>47</v>
      </c>
      <c r="AW41">
        <v>2</v>
      </c>
      <c r="AX41" t="s">
        <v>74</v>
      </c>
      <c r="AY41" t="s">
        <v>74</v>
      </c>
      <c r="AZ41" t="s">
        <v>74</v>
      </c>
      <c r="BA41" t="s">
        <v>74</v>
      </c>
      <c r="BB41">
        <v>159</v>
      </c>
      <c r="BC41">
        <v>162</v>
      </c>
      <c r="BD41" t="s">
        <v>74</v>
      </c>
      <c r="BE41" t="s">
        <v>74</v>
      </c>
      <c r="BF41" t="s">
        <v>74</v>
      </c>
      <c r="BG41" t="s">
        <v>74</v>
      </c>
      <c r="BH41" t="s">
        <v>74</v>
      </c>
      <c r="BI41">
        <v>4</v>
      </c>
      <c r="BJ41" t="s">
        <v>719</v>
      </c>
      <c r="BK41" t="s">
        <v>170</v>
      </c>
      <c r="BL41" t="s">
        <v>719</v>
      </c>
      <c r="BM41" t="s">
        <v>720</v>
      </c>
      <c r="BN41" t="s">
        <v>74</v>
      </c>
      <c r="BO41" t="s">
        <v>74</v>
      </c>
      <c r="BP41" t="s">
        <v>74</v>
      </c>
      <c r="BQ41" t="s">
        <v>74</v>
      </c>
      <c r="BR41" t="s">
        <v>107</v>
      </c>
      <c r="BS41" t="s">
        <v>725</v>
      </c>
      <c r="BT41" t="str">
        <f>HYPERLINK("https%3A%2F%2Fwww.webofscience.com%2Fwos%2Fwoscc%2Ffull-record%2FWOS:000177076400008","View Full Record in Web of Science")</f>
        <v>View Full Record in Web of Science</v>
      </c>
    </row>
    <row r="42" spans="1:72" x14ac:dyDescent="0.15">
      <c r="A42" t="s">
        <v>72</v>
      </c>
      <c r="B42" t="s">
        <v>726</v>
      </c>
      <c r="C42" t="s">
        <v>74</v>
      </c>
      <c r="D42" t="s">
        <v>74</v>
      </c>
      <c r="E42" t="s">
        <v>74</v>
      </c>
      <c r="F42" t="s">
        <v>726</v>
      </c>
      <c r="G42" t="s">
        <v>74</v>
      </c>
      <c r="H42" t="s">
        <v>74</v>
      </c>
      <c r="I42" t="s">
        <v>727</v>
      </c>
      <c r="J42" t="s">
        <v>728</v>
      </c>
      <c r="K42" t="s">
        <v>74</v>
      </c>
      <c r="L42" t="s">
        <v>74</v>
      </c>
      <c r="M42" t="s">
        <v>77</v>
      </c>
      <c r="N42" t="s">
        <v>78</v>
      </c>
      <c r="O42" t="s">
        <v>729</v>
      </c>
      <c r="P42" t="s">
        <v>730</v>
      </c>
      <c r="Q42" t="s">
        <v>731</v>
      </c>
      <c r="R42" t="s">
        <v>74</v>
      </c>
      <c r="S42" t="s">
        <v>74</v>
      </c>
      <c r="T42" t="s">
        <v>74</v>
      </c>
      <c r="U42" t="s">
        <v>74</v>
      </c>
      <c r="V42" t="s">
        <v>732</v>
      </c>
      <c r="W42" t="s">
        <v>733</v>
      </c>
      <c r="X42" t="s">
        <v>734</v>
      </c>
      <c r="Y42" t="s">
        <v>735</v>
      </c>
      <c r="Z42" t="s">
        <v>74</v>
      </c>
      <c r="AA42" t="s">
        <v>74</v>
      </c>
      <c r="AB42" t="s">
        <v>74</v>
      </c>
      <c r="AC42" t="s">
        <v>74</v>
      </c>
      <c r="AD42" t="s">
        <v>74</v>
      </c>
      <c r="AE42" t="s">
        <v>74</v>
      </c>
      <c r="AF42" t="s">
        <v>74</v>
      </c>
      <c r="AG42">
        <v>7</v>
      </c>
      <c r="AH42">
        <v>7</v>
      </c>
      <c r="AI42">
        <v>8</v>
      </c>
      <c r="AJ42">
        <v>0</v>
      </c>
      <c r="AK42">
        <v>1</v>
      </c>
      <c r="AL42" t="s">
        <v>736</v>
      </c>
      <c r="AM42" t="s">
        <v>737</v>
      </c>
      <c r="AN42" t="s">
        <v>738</v>
      </c>
      <c r="AO42" t="s">
        <v>739</v>
      </c>
      <c r="AP42" t="s">
        <v>74</v>
      </c>
      <c r="AQ42" t="s">
        <v>74</v>
      </c>
      <c r="AR42" t="s">
        <v>740</v>
      </c>
      <c r="AS42" t="s">
        <v>741</v>
      </c>
      <c r="AT42" t="s">
        <v>742</v>
      </c>
      <c r="AU42">
        <v>2002</v>
      </c>
      <c r="AV42">
        <v>23</v>
      </c>
      <c r="AW42">
        <v>2</v>
      </c>
      <c r="AX42" t="s">
        <v>74</v>
      </c>
      <c r="AY42" t="s">
        <v>74</v>
      </c>
      <c r="AZ42" t="s">
        <v>74</v>
      </c>
      <c r="BA42" t="s">
        <v>74</v>
      </c>
      <c r="BB42">
        <v>25</v>
      </c>
      <c r="BC42">
        <v>36</v>
      </c>
      <c r="BD42" t="s">
        <v>74</v>
      </c>
      <c r="BE42" t="s">
        <v>74</v>
      </c>
      <c r="BF42" t="s">
        <v>74</v>
      </c>
      <c r="BG42" t="s">
        <v>74</v>
      </c>
      <c r="BH42" t="s">
        <v>74</v>
      </c>
      <c r="BI42">
        <v>12</v>
      </c>
      <c r="BJ42" t="s">
        <v>743</v>
      </c>
      <c r="BK42" t="s">
        <v>744</v>
      </c>
      <c r="BL42" t="s">
        <v>745</v>
      </c>
      <c r="BM42" t="s">
        <v>746</v>
      </c>
      <c r="BN42" t="s">
        <v>74</v>
      </c>
      <c r="BO42" t="s">
        <v>74</v>
      </c>
      <c r="BP42" t="s">
        <v>74</v>
      </c>
      <c r="BQ42" t="s">
        <v>74</v>
      </c>
      <c r="BR42" t="s">
        <v>107</v>
      </c>
      <c r="BS42" t="s">
        <v>747</v>
      </c>
      <c r="BT42" t="str">
        <f>HYPERLINK("https%3A%2F%2Fwww.webofscience.com%2Fwos%2Fwoscc%2Ffull-record%2FWOS:000180288400003","View Full Record in Web of Science")</f>
        <v>View Full Record in Web of Science</v>
      </c>
    </row>
    <row r="43" spans="1:72" x14ac:dyDescent="0.15">
      <c r="A43" t="s">
        <v>72</v>
      </c>
      <c r="B43" t="s">
        <v>748</v>
      </c>
      <c r="C43" t="s">
        <v>74</v>
      </c>
      <c r="D43" t="s">
        <v>74</v>
      </c>
      <c r="E43" t="s">
        <v>74</v>
      </c>
      <c r="F43" t="s">
        <v>748</v>
      </c>
      <c r="G43" t="s">
        <v>74</v>
      </c>
      <c r="H43" t="s">
        <v>74</v>
      </c>
      <c r="I43" t="s">
        <v>749</v>
      </c>
      <c r="J43" t="s">
        <v>750</v>
      </c>
      <c r="K43" t="s">
        <v>74</v>
      </c>
      <c r="L43" t="s">
        <v>74</v>
      </c>
      <c r="M43" t="s">
        <v>77</v>
      </c>
      <c r="N43" t="s">
        <v>751</v>
      </c>
      <c r="O43" t="s">
        <v>74</v>
      </c>
      <c r="P43" t="s">
        <v>74</v>
      </c>
      <c r="Q43" t="s">
        <v>74</v>
      </c>
      <c r="R43" t="s">
        <v>74</v>
      </c>
      <c r="S43" t="s">
        <v>74</v>
      </c>
      <c r="T43" t="s">
        <v>74</v>
      </c>
      <c r="U43" t="s">
        <v>74</v>
      </c>
      <c r="V43" t="s">
        <v>74</v>
      </c>
      <c r="W43" t="s">
        <v>74</v>
      </c>
      <c r="X43" t="s">
        <v>74</v>
      </c>
      <c r="Y43" t="s">
        <v>74</v>
      </c>
      <c r="Z43" t="s">
        <v>74</v>
      </c>
      <c r="AA43" t="s">
        <v>74</v>
      </c>
      <c r="AB43" t="s">
        <v>752</v>
      </c>
      <c r="AC43" t="s">
        <v>74</v>
      </c>
      <c r="AD43" t="s">
        <v>74</v>
      </c>
      <c r="AE43" t="s">
        <v>74</v>
      </c>
      <c r="AF43" t="s">
        <v>74</v>
      </c>
      <c r="AG43">
        <v>0</v>
      </c>
      <c r="AH43">
        <v>0</v>
      </c>
      <c r="AI43">
        <v>0</v>
      </c>
      <c r="AJ43">
        <v>0</v>
      </c>
      <c r="AK43">
        <v>1</v>
      </c>
      <c r="AL43" t="s">
        <v>753</v>
      </c>
      <c r="AM43" t="s">
        <v>195</v>
      </c>
      <c r="AN43" t="s">
        <v>754</v>
      </c>
      <c r="AO43" t="s">
        <v>755</v>
      </c>
      <c r="AP43" t="s">
        <v>74</v>
      </c>
      <c r="AQ43" t="s">
        <v>74</v>
      </c>
      <c r="AR43" t="s">
        <v>756</v>
      </c>
      <c r="AS43" t="s">
        <v>757</v>
      </c>
      <c r="AT43" t="s">
        <v>718</v>
      </c>
      <c r="AU43">
        <v>2002</v>
      </c>
      <c r="AV43">
        <v>14</v>
      </c>
      <c r="AW43">
        <v>2</v>
      </c>
      <c r="AX43" t="s">
        <v>74</v>
      </c>
      <c r="AY43" t="s">
        <v>74</v>
      </c>
      <c r="AZ43" t="s">
        <v>74</v>
      </c>
      <c r="BA43" t="s">
        <v>74</v>
      </c>
      <c r="BB43">
        <v>113</v>
      </c>
      <c r="BC43">
        <v>113</v>
      </c>
      <c r="BD43" t="s">
        <v>74</v>
      </c>
      <c r="BE43" t="s">
        <v>758</v>
      </c>
      <c r="BF43" t="str">
        <f>HYPERLINK("http://dx.doi.org/10.1017/S0954102002000652","http://dx.doi.org/10.1017/S0954102002000652")</f>
        <v>http://dx.doi.org/10.1017/S0954102002000652</v>
      </c>
      <c r="BG43" t="s">
        <v>74</v>
      </c>
      <c r="BH43" t="s">
        <v>74</v>
      </c>
      <c r="BI43">
        <v>1</v>
      </c>
      <c r="BJ43" t="s">
        <v>759</v>
      </c>
      <c r="BK43" t="s">
        <v>170</v>
      </c>
      <c r="BL43" t="s">
        <v>760</v>
      </c>
      <c r="BM43" t="s">
        <v>761</v>
      </c>
      <c r="BN43" t="s">
        <v>74</v>
      </c>
      <c r="BO43" t="s">
        <v>173</v>
      </c>
      <c r="BP43" t="s">
        <v>74</v>
      </c>
      <c r="BQ43" t="s">
        <v>74</v>
      </c>
      <c r="BR43" t="s">
        <v>107</v>
      </c>
      <c r="BS43" t="s">
        <v>762</v>
      </c>
      <c r="BT43" t="str">
        <f>HYPERLINK("https%3A%2F%2Fwww.webofscience.com%2Fwos%2Fwoscc%2Ffull-record%2FWOS:000176315100001","View Full Record in Web of Science")</f>
        <v>View Full Record in Web of Science</v>
      </c>
    </row>
    <row r="44" spans="1:72" x14ac:dyDescent="0.15">
      <c r="A44" t="s">
        <v>72</v>
      </c>
      <c r="B44" t="s">
        <v>763</v>
      </c>
      <c r="C44" t="s">
        <v>74</v>
      </c>
      <c r="D44" t="s">
        <v>74</v>
      </c>
      <c r="E44" t="s">
        <v>74</v>
      </c>
      <c r="F44" t="s">
        <v>763</v>
      </c>
      <c r="G44" t="s">
        <v>74</v>
      </c>
      <c r="H44" t="s">
        <v>74</v>
      </c>
      <c r="I44" t="s">
        <v>764</v>
      </c>
      <c r="J44" t="s">
        <v>750</v>
      </c>
      <c r="K44" t="s">
        <v>74</v>
      </c>
      <c r="L44" t="s">
        <v>74</v>
      </c>
      <c r="M44" t="s">
        <v>77</v>
      </c>
      <c r="N44" t="s">
        <v>153</v>
      </c>
      <c r="O44" t="s">
        <v>74</v>
      </c>
      <c r="P44" t="s">
        <v>74</v>
      </c>
      <c r="Q44" t="s">
        <v>74</v>
      </c>
      <c r="R44" t="s">
        <v>74</v>
      </c>
      <c r="S44" t="s">
        <v>74</v>
      </c>
      <c r="T44" t="s">
        <v>765</v>
      </c>
      <c r="U44" t="s">
        <v>74</v>
      </c>
      <c r="V44" t="s">
        <v>766</v>
      </c>
      <c r="W44" t="s">
        <v>767</v>
      </c>
      <c r="X44" t="s">
        <v>768</v>
      </c>
      <c r="Y44" t="s">
        <v>769</v>
      </c>
      <c r="Z44" t="s">
        <v>74</v>
      </c>
      <c r="AA44" t="s">
        <v>770</v>
      </c>
      <c r="AB44" t="s">
        <v>74</v>
      </c>
      <c r="AC44" t="s">
        <v>74</v>
      </c>
      <c r="AD44" t="s">
        <v>74</v>
      </c>
      <c r="AE44" t="s">
        <v>74</v>
      </c>
      <c r="AF44" t="s">
        <v>74</v>
      </c>
      <c r="AG44">
        <v>25</v>
      </c>
      <c r="AH44">
        <v>10</v>
      </c>
      <c r="AI44">
        <v>10</v>
      </c>
      <c r="AJ44">
        <v>0</v>
      </c>
      <c r="AK44">
        <v>9</v>
      </c>
      <c r="AL44" t="s">
        <v>753</v>
      </c>
      <c r="AM44" t="s">
        <v>195</v>
      </c>
      <c r="AN44" t="s">
        <v>754</v>
      </c>
      <c r="AO44" t="s">
        <v>755</v>
      </c>
      <c r="AP44" t="s">
        <v>74</v>
      </c>
      <c r="AQ44" t="s">
        <v>74</v>
      </c>
      <c r="AR44" t="s">
        <v>756</v>
      </c>
      <c r="AS44" t="s">
        <v>757</v>
      </c>
      <c r="AT44" t="s">
        <v>718</v>
      </c>
      <c r="AU44">
        <v>2002</v>
      </c>
      <c r="AV44">
        <v>14</v>
      </c>
      <c r="AW44">
        <v>2</v>
      </c>
      <c r="AX44" t="s">
        <v>74</v>
      </c>
      <c r="AY44" t="s">
        <v>74</v>
      </c>
      <c r="AZ44" t="s">
        <v>74</v>
      </c>
      <c r="BA44" t="s">
        <v>74</v>
      </c>
      <c r="BB44">
        <v>115</v>
      </c>
      <c r="BC44">
        <v>122</v>
      </c>
      <c r="BD44" t="s">
        <v>74</v>
      </c>
      <c r="BE44" t="s">
        <v>771</v>
      </c>
      <c r="BF44" t="str">
        <f>HYPERLINK("http://dx.doi.org/10.1017/S0954102002000664","http://dx.doi.org/10.1017/S0954102002000664")</f>
        <v>http://dx.doi.org/10.1017/S0954102002000664</v>
      </c>
      <c r="BG44" t="s">
        <v>74</v>
      </c>
      <c r="BH44" t="s">
        <v>74</v>
      </c>
      <c r="BI44">
        <v>8</v>
      </c>
      <c r="BJ44" t="s">
        <v>759</v>
      </c>
      <c r="BK44" t="s">
        <v>170</v>
      </c>
      <c r="BL44" t="s">
        <v>760</v>
      </c>
      <c r="BM44" t="s">
        <v>761</v>
      </c>
      <c r="BN44" t="s">
        <v>74</v>
      </c>
      <c r="BO44" t="s">
        <v>74</v>
      </c>
      <c r="BP44" t="s">
        <v>74</v>
      </c>
      <c r="BQ44" t="s">
        <v>74</v>
      </c>
      <c r="BR44" t="s">
        <v>107</v>
      </c>
      <c r="BS44" t="s">
        <v>772</v>
      </c>
      <c r="BT44" t="str">
        <f>HYPERLINK("https%3A%2F%2Fwww.webofscience.com%2Fwos%2Fwoscc%2Ffull-record%2FWOS:000176315100002","View Full Record in Web of Science")</f>
        <v>View Full Record in Web of Science</v>
      </c>
    </row>
    <row r="45" spans="1:72" x14ac:dyDescent="0.15">
      <c r="A45" t="s">
        <v>72</v>
      </c>
      <c r="B45" t="s">
        <v>773</v>
      </c>
      <c r="C45" t="s">
        <v>74</v>
      </c>
      <c r="D45" t="s">
        <v>74</v>
      </c>
      <c r="E45" t="s">
        <v>74</v>
      </c>
      <c r="F45" t="s">
        <v>773</v>
      </c>
      <c r="G45" t="s">
        <v>74</v>
      </c>
      <c r="H45" t="s">
        <v>74</v>
      </c>
      <c r="I45" t="s">
        <v>774</v>
      </c>
      <c r="J45" t="s">
        <v>750</v>
      </c>
      <c r="K45" t="s">
        <v>74</v>
      </c>
      <c r="L45" t="s">
        <v>74</v>
      </c>
      <c r="M45" t="s">
        <v>77</v>
      </c>
      <c r="N45" t="s">
        <v>153</v>
      </c>
      <c r="O45" t="s">
        <v>74</v>
      </c>
      <c r="P45" t="s">
        <v>74</v>
      </c>
      <c r="Q45" t="s">
        <v>74</v>
      </c>
      <c r="R45" t="s">
        <v>74</v>
      </c>
      <c r="S45" t="s">
        <v>74</v>
      </c>
      <c r="T45" t="s">
        <v>775</v>
      </c>
      <c r="U45" t="s">
        <v>74</v>
      </c>
      <c r="V45" t="s">
        <v>776</v>
      </c>
      <c r="W45" t="s">
        <v>767</v>
      </c>
      <c r="X45" t="s">
        <v>768</v>
      </c>
      <c r="Y45" t="s">
        <v>777</v>
      </c>
      <c r="Z45" t="s">
        <v>74</v>
      </c>
      <c r="AA45" t="s">
        <v>770</v>
      </c>
      <c r="AB45" t="s">
        <v>74</v>
      </c>
      <c r="AC45" t="s">
        <v>74</v>
      </c>
      <c r="AD45" t="s">
        <v>74</v>
      </c>
      <c r="AE45" t="s">
        <v>74</v>
      </c>
      <c r="AF45" t="s">
        <v>74</v>
      </c>
      <c r="AG45">
        <v>20</v>
      </c>
      <c r="AH45">
        <v>33</v>
      </c>
      <c r="AI45">
        <v>37</v>
      </c>
      <c r="AJ45">
        <v>0</v>
      </c>
      <c r="AK45">
        <v>24</v>
      </c>
      <c r="AL45" t="s">
        <v>753</v>
      </c>
      <c r="AM45" t="s">
        <v>195</v>
      </c>
      <c r="AN45" t="s">
        <v>754</v>
      </c>
      <c r="AO45" t="s">
        <v>755</v>
      </c>
      <c r="AP45" t="s">
        <v>74</v>
      </c>
      <c r="AQ45" t="s">
        <v>74</v>
      </c>
      <c r="AR45" t="s">
        <v>756</v>
      </c>
      <c r="AS45" t="s">
        <v>757</v>
      </c>
      <c r="AT45" t="s">
        <v>718</v>
      </c>
      <c r="AU45">
        <v>2002</v>
      </c>
      <c r="AV45">
        <v>14</v>
      </c>
      <c r="AW45">
        <v>2</v>
      </c>
      <c r="AX45" t="s">
        <v>74</v>
      </c>
      <c r="AY45" t="s">
        <v>74</v>
      </c>
      <c r="AZ45" t="s">
        <v>74</v>
      </c>
      <c r="BA45" t="s">
        <v>74</v>
      </c>
      <c r="BB45">
        <v>123</v>
      </c>
      <c r="BC45">
        <v>127</v>
      </c>
      <c r="BD45" t="s">
        <v>74</v>
      </c>
      <c r="BE45" t="s">
        <v>778</v>
      </c>
      <c r="BF45" t="str">
        <f>HYPERLINK("http://dx.doi.org/10.1017/S0954102002000676","http://dx.doi.org/10.1017/S0954102002000676")</f>
        <v>http://dx.doi.org/10.1017/S0954102002000676</v>
      </c>
      <c r="BG45" t="s">
        <v>74</v>
      </c>
      <c r="BH45" t="s">
        <v>74</v>
      </c>
      <c r="BI45">
        <v>5</v>
      </c>
      <c r="BJ45" t="s">
        <v>759</v>
      </c>
      <c r="BK45" t="s">
        <v>170</v>
      </c>
      <c r="BL45" t="s">
        <v>760</v>
      </c>
      <c r="BM45" t="s">
        <v>761</v>
      </c>
      <c r="BN45" t="s">
        <v>74</v>
      </c>
      <c r="BO45" t="s">
        <v>74</v>
      </c>
      <c r="BP45" t="s">
        <v>74</v>
      </c>
      <c r="BQ45" t="s">
        <v>74</v>
      </c>
      <c r="BR45" t="s">
        <v>107</v>
      </c>
      <c r="BS45" t="s">
        <v>779</v>
      </c>
      <c r="BT45" t="str">
        <f>HYPERLINK("https%3A%2F%2Fwww.webofscience.com%2Fwos%2Fwoscc%2Ffull-record%2FWOS:000176315100003","View Full Record in Web of Science")</f>
        <v>View Full Record in Web of Science</v>
      </c>
    </row>
    <row r="46" spans="1:72" x14ac:dyDescent="0.15">
      <c r="A46" t="s">
        <v>72</v>
      </c>
      <c r="B46" t="s">
        <v>780</v>
      </c>
      <c r="C46" t="s">
        <v>74</v>
      </c>
      <c r="D46" t="s">
        <v>74</v>
      </c>
      <c r="E46" t="s">
        <v>74</v>
      </c>
      <c r="F46" t="s">
        <v>780</v>
      </c>
      <c r="G46" t="s">
        <v>74</v>
      </c>
      <c r="H46" t="s">
        <v>74</v>
      </c>
      <c r="I46" t="s">
        <v>781</v>
      </c>
      <c r="J46" t="s">
        <v>750</v>
      </c>
      <c r="K46" t="s">
        <v>74</v>
      </c>
      <c r="L46" t="s">
        <v>74</v>
      </c>
      <c r="M46" t="s">
        <v>77</v>
      </c>
      <c r="N46" t="s">
        <v>153</v>
      </c>
      <c r="O46" t="s">
        <v>74</v>
      </c>
      <c r="P46" t="s">
        <v>74</v>
      </c>
      <c r="Q46" t="s">
        <v>74</v>
      </c>
      <c r="R46" t="s">
        <v>74</v>
      </c>
      <c r="S46" t="s">
        <v>74</v>
      </c>
      <c r="T46" t="s">
        <v>782</v>
      </c>
      <c r="U46" t="s">
        <v>783</v>
      </c>
      <c r="V46" t="s">
        <v>784</v>
      </c>
      <c r="W46" t="s">
        <v>785</v>
      </c>
      <c r="X46" t="s">
        <v>786</v>
      </c>
      <c r="Y46" t="s">
        <v>787</v>
      </c>
      <c r="Z46" t="s">
        <v>74</v>
      </c>
      <c r="AA46" t="s">
        <v>788</v>
      </c>
      <c r="AB46" t="s">
        <v>789</v>
      </c>
      <c r="AC46" t="s">
        <v>74</v>
      </c>
      <c r="AD46" t="s">
        <v>74</v>
      </c>
      <c r="AE46" t="s">
        <v>74</v>
      </c>
      <c r="AF46" t="s">
        <v>74</v>
      </c>
      <c r="AG46">
        <v>28</v>
      </c>
      <c r="AH46">
        <v>15</v>
      </c>
      <c r="AI46">
        <v>19</v>
      </c>
      <c r="AJ46">
        <v>0</v>
      </c>
      <c r="AK46">
        <v>10</v>
      </c>
      <c r="AL46" t="s">
        <v>753</v>
      </c>
      <c r="AM46" t="s">
        <v>195</v>
      </c>
      <c r="AN46" t="s">
        <v>754</v>
      </c>
      <c r="AO46" t="s">
        <v>755</v>
      </c>
      <c r="AP46" t="s">
        <v>74</v>
      </c>
      <c r="AQ46" t="s">
        <v>74</v>
      </c>
      <c r="AR46" t="s">
        <v>756</v>
      </c>
      <c r="AS46" t="s">
        <v>757</v>
      </c>
      <c r="AT46" t="s">
        <v>718</v>
      </c>
      <c r="AU46">
        <v>2002</v>
      </c>
      <c r="AV46">
        <v>14</v>
      </c>
      <c r="AW46">
        <v>2</v>
      </c>
      <c r="AX46" t="s">
        <v>74</v>
      </c>
      <c r="AY46" t="s">
        <v>74</v>
      </c>
      <c r="AZ46" t="s">
        <v>74</v>
      </c>
      <c r="BA46" t="s">
        <v>74</v>
      </c>
      <c r="BB46">
        <v>128</v>
      </c>
      <c r="BC46">
        <v>133</v>
      </c>
      <c r="BD46" t="s">
        <v>74</v>
      </c>
      <c r="BE46" t="s">
        <v>790</v>
      </c>
      <c r="BF46" t="str">
        <f>HYPERLINK("http://dx.doi.org/10.1017/S0954102002000688","http://dx.doi.org/10.1017/S0954102002000688")</f>
        <v>http://dx.doi.org/10.1017/S0954102002000688</v>
      </c>
      <c r="BG46" t="s">
        <v>74</v>
      </c>
      <c r="BH46" t="s">
        <v>74</v>
      </c>
      <c r="BI46">
        <v>6</v>
      </c>
      <c r="BJ46" t="s">
        <v>759</v>
      </c>
      <c r="BK46" t="s">
        <v>170</v>
      </c>
      <c r="BL46" t="s">
        <v>760</v>
      </c>
      <c r="BM46" t="s">
        <v>761</v>
      </c>
      <c r="BN46" t="s">
        <v>74</v>
      </c>
      <c r="BO46" t="s">
        <v>74</v>
      </c>
      <c r="BP46" t="s">
        <v>74</v>
      </c>
      <c r="BQ46" t="s">
        <v>74</v>
      </c>
      <c r="BR46" t="s">
        <v>107</v>
      </c>
      <c r="BS46" t="s">
        <v>791</v>
      </c>
      <c r="BT46" t="str">
        <f>HYPERLINK("https%3A%2F%2Fwww.webofscience.com%2Fwos%2Fwoscc%2Ffull-record%2FWOS:000176315100004","View Full Record in Web of Science")</f>
        <v>View Full Record in Web of Science</v>
      </c>
    </row>
    <row r="47" spans="1:72" x14ac:dyDescent="0.15">
      <c r="A47" t="s">
        <v>72</v>
      </c>
      <c r="B47" t="s">
        <v>792</v>
      </c>
      <c r="C47" t="s">
        <v>74</v>
      </c>
      <c r="D47" t="s">
        <v>74</v>
      </c>
      <c r="E47" t="s">
        <v>74</v>
      </c>
      <c r="F47" t="s">
        <v>792</v>
      </c>
      <c r="G47" t="s">
        <v>74</v>
      </c>
      <c r="H47" t="s">
        <v>74</v>
      </c>
      <c r="I47" t="s">
        <v>793</v>
      </c>
      <c r="J47" t="s">
        <v>750</v>
      </c>
      <c r="K47" t="s">
        <v>74</v>
      </c>
      <c r="L47" t="s">
        <v>74</v>
      </c>
      <c r="M47" t="s">
        <v>77</v>
      </c>
      <c r="N47" t="s">
        <v>153</v>
      </c>
      <c r="O47" t="s">
        <v>74</v>
      </c>
      <c r="P47" t="s">
        <v>74</v>
      </c>
      <c r="Q47" t="s">
        <v>74</v>
      </c>
      <c r="R47" t="s">
        <v>74</v>
      </c>
      <c r="S47" t="s">
        <v>74</v>
      </c>
      <c r="T47" t="s">
        <v>794</v>
      </c>
      <c r="U47" t="s">
        <v>795</v>
      </c>
      <c r="V47" t="s">
        <v>796</v>
      </c>
      <c r="W47" t="s">
        <v>797</v>
      </c>
      <c r="X47" t="s">
        <v>798</v>
      </c>
      <c r="Y47" t="s">
        <v>799</v>
      </c>
      <c r="Z47" t="s">
        <v>800</v>
      </c>
      <c r="AA47" t="s">
        <v>801</v>
      </c>
      <c r="AB47" t="s">
        <v>802</v>
      </c>
      <c r="AC47" t="s">
        <v>74</v>
      </c>
      <c r="AD47" t="s">
        <v>74</v>
      </c>
      <c r="AE47" t="s">
        <v>74</v>
      </c>
      <c r="AF47" t="s">
        <v>74</v>
      </c>
      <c r="AG47">
        <v>61</v>
      </c>
      <c r="AH47">
        <v>34</v>
      </c>
      <c r="AI47">
        <v>39</v>
      </c>
      <c r="AJ47">
        <v>0</v>
      </c>
      <c r="AK47">
        <v>14</v>
      </c>
      <c r="AL47" t="s">
        <v>753</v>
      </c>
      <c r="AM47" t="s">
        <v>195</v>
      </c>
      <c r="AN47" t="s">
        <v>803</v>
      </c>
      <c r="AO47" t="s">
        <v>755</v>
      </c>
      <c r="AP47" t="s">
        <v>804</v>
      </c>
      <c r="AQ47" t="s">
        <v>74</v>
      </c>
      <c r="AR47" t="s">
        <v>756</v>
      </c>
      <c r="AS47" t="s">
        <v>757</v>
      </c>
      <c r="AT47" t="s">
        <v>718</v>
      </c>
      <c r="AU47">
        <v>2002</v>
      </c>
      <c r="AV47">
        <v>14</v>
      </c>
      <c r="AW47">
        <v>2</v>
      </c>
      <c r="AX47" t="s">
        <v>74</v>
      </c>
      <c r="AY47" t="s">
        <v>74</v>
      </c>
      <c r="AZ47" t="s">
        <v>74</v>
      </c>
      <c r="BA47" t="s">
        <v>74</v>
      </c>
      <c r="BB47">
        <v>134</v>
      </c>
      <c r="BC47">
        <v>145</v>
      </c>
      <c r="BD47" t="s">
        <v>74</v>
      </c>
      <c r="BE47" t="s">
        <v>805</v>
      </c>
      <c r="BF47" t="str">
        <f>HYPERLINK("http://dx.doi.org/10.1017/S095410200200069X","http://dx.doi.org/10.1017/S095410200200069X")</f>
        <v>http://dx.doi.org/10.1017/S095410200200069X</v>
      </c>
      <c r="BG47" t="s">
        <v>74</v>
      </c>
      <c r="BH47" t="s">
        <v>74</v>
      </c>
      <c r="BI47">
        <v>12</v>
      </c>
      <c r="BJ47" t="s">
        <v>759</v>
      </c>
      <c r="BK47" t="s">
        <v>170</v>
      </c>
      <c r="BL47" t="s">
        <v>760</v>
      </c>
      <c r="BM47" t="s">
        <v>761</v>
      </c>
      <c r="BN47" t="s">
        <v>74</v>
      </c>
      <c r="BO47" t="s">
        <v>74</v>
      </c>
      <c r="BP47" t="s">
        <v>74</v>
      </c>
      <c r="BQ47" t="s">
        <v>74</v>
      </c>
      <c r="BR47" t="s">
        <v>107</v>
      </c>
      <c r="BS47" t="s">
        <v>806</v>
      </c>
      <c r="BT47" t="str">
        <f>HYPERLINK("https%3A%2F%2Fwww.webofscience.com%2Fwos%2Fwoscc%2Ffull-record%2FWOS:000176315100005","View Full Record in Web of Science")</f>
        <v>View Full Record in Web of Science</v>
      </c>
    </row>
    <row r="48" spans="1:72" x14ac:dyDescent="0.15">
      <c r="A48" t="s">
        <v>72</v>
      </c>
      <c r="B48" t="s">
        <v>807</v>
      </c>
      <c r="C48" t="s">
        <v>74</v>
      </c>
      <c r="D48" t="s">
        <v>74</v>
      </c>
      <c r="E48" t="s">
        <v>74</v>
      </c>
      <c r="F48" t="s">
        <v>807</v>
      </c>
      <c r="G48" t="s">
        <v>74</v>
      </c>
      <c r="H48" t="s">
        <v>74</v>
      </c>
      <c r="I48" t="s">
        <v>808</v>
      </c>
      <c r="J48" t="s">
        <v>750</v>
      </c>
      <c r="K48" t="s">
        <v>74</v>
      </c>
      <c r="L48" t="s">
        <v>74</v>
      </c>
      <c r="M48" t="s">
        <v>77</v>
      </c>
      <c r="N48" t="s">
        <v>153</v>
      </c>
      <c r="O48" t="s">
        <v>74</v>
      </c>
      <c r="P48" t="s">
        <v>74</v>
      </c>
      <c r="Q48" t="s">
        <v>74</v>
      </c>
      <c r="R48" t="s">
        <v>74</v>
      </c>
      <c r="S48" t="s">
        <v>74</v>
      </c>
      <c r="T48" t="s">
        <v>809</v>
      </c>
      <c r="U48" t="s">
        <v>810</v>
      </c>
      <c r="V48" t="s">
        <v>811</v>
      </c>
      <c r="W48" t="s">
        <v>812</v>
      </c>
      <c r="X48" t="s">
        <v>813</v>
      </c>
      <c r="Y48" t="s">
        <v>814</v>
      </c>
      <c r="Z48" t="s">
        <v>74</v>
      </c>
      <c r="AA48" t="s">
        <v>815</v>
      </c>
      <c r="AB48" t="s">
        <v>816</v>
      </c>
      <c r="AC48" t="s">
        <v>74</v>
      </c>
      <c r="AD48" t="s">
        <v>74</v>
      </c>
      <c r="AE48" t="s">
        <v>74</v>
      </c>
      <c r="AF48" t="s">
        <v>74</v>
      </c>
      <c r="AG48">
        <v>43</v>
      </c>
      <c r="AH48">
        <v>19</v>
      </c>
      <c r="AI48">
        <v>20</v>
      </c>
      <c r="AJ48">
        <v>0</v>
      </c>
      <c r="AK48">
        <v>4</v>
      </c>
      <c r="AL48" t="s">
        <v>753</v>
      </c>
      <c r="AM48" t="s">
        <v>195</v>
      </c>
      <c r="AN48" t="s">
        <v>754</v>
      </c>
      <c r="AO48" t="s">
        <v>755</v>
      </c>
      <c r="AP48" t="s">
        <v>74</v>
      </c>
      <c r="AQ48" t="s">
        <v>74</v>
      </c>
      <c r="AR48" t="s">
        <v>756</v>
      </c>
      <c r="AS48" t="s">
        <v>757</v>
      </c>
      <c r="AT48" t="s">
        <v>718</v>
      </c>
      <c r="AU48">
        <v>2002</v>
      </c>
      <c r="AV48">
        <v>14</v>
      </c>
      <c r="AW48">
        <v>2</v>
      </c>
      <c r="AX48" t="s">
        <v>74</v>
      </c>
      <c r="AY48" t="s">
        <v>74</v>
      </c>
      <c r="AZ48" t="s">
        <v>74</v>
      </c>
      <c r="BA48" t="s">
        <v>74</v>
      </c>
      <c r="BB48">
        <v>146</v>
      </c>
      <c r="BC48">
        <v>150</v>
      </c>
      <c r="BD48" t="s">
        <v>74</v>
      </c>
      <c r="BE48" t="s">
        <v>817</v>
      </c>
      <c r="BF48" t="str">
        <f>HYPERLINK("http://dx.doi.org/10.1017/S0954102002000706","http://dx.doi.org/10.1017/S0954102002000706")</f>
        <v>http://dx.doi.org/10.1017/S0954102002000706</v>
      </c>
      <c r="BG48" t="s">
        <v>74</v>
      </c>
      <c r="BH48" t="s">
        <v>74</v>
      </c>
      <c r="BI48">
        <v>5</v>
      </c>
      <c r="BJ48" t="s">
        <v>759</v>
      </c>
      <c r="BK48" t="s">
        <v>170</v>
      </c>
      <c r="BL48" t="s">
        <v>760</v>
      </c>
      <c r="BM48" t="s">
        <v>761</v>
      </c>
      <c r="BN48" t="s">
        <v>74</v>
      </c>
      <c r="BO48" t="s">
        <v>74</v>
      </c>
      <c r="BP48" t="s">
        <v>74</v>
      </c>
      <c r="BQ48" t="s">
        <v>74</v>
      </c>
      <c r="BR48" t="s">
        <v>107</v>
      </c>
      <c r="BS48" t="s">
        <v>818</v>
      </c>
      <c r="BT48" t="str">
        <f>HYPERLINK("https%3A%2F%2Fwww.webofscience.com%2Fwos%2Fwoscc%2Ffull-record%2FWOS:000176315100006","View Full Record in Web of Science")</f>
        <v>View Full Record in Web of Science</v>
      </c>
    </row>
    <row r="49" spans="1:72" x14ac:dyDescent="0.15">
      <c r="A49" t="s">
        <v>72</v>
      </c>
      <c r="B49" t="s">
        <v>819</v>
      </c>
      <c r="C49" t="s">
        <v>74</v>
      </c>
      <c r="D49" t="s">
        <v>74</v>
      </c>
      <c r="E49" t="s">
        <v>74</v>
      </c>
      <c r="F49" t="s">
        <v>819</v>
      </c>
      <c r="G49" t="s">
        <v>74</v>
      </c>
      <c r="H49" t="s">
        <v>74</v>
      </c>
      <c r="I49" t="s">
        <v>820</v>
      </c>
      <c r="J49" t="s">
        <v>750</v>
      </c>
      <c r="K49" t="s">
        <v>74</v>
      </c>
      <c r="L49" t="s">
        <v>74</v>
      </c>
      <c r="M49" t="s">
        <v>77</v>
      </c>
      <c r="N49" t="s">
        <v>153</v>
      </c>
      <c r="O49" t="s">
        <v>74</v>
      </c>
      <c r="P49" t="s">
        <v>74</v>
      </c>
      <c r="Q49" t="s">
        <v>74</v>
      </c>
      <c r="R49" t="s">
        <v>74</v>
      </c>
      <c r="S49" t="s">
        <v>74</v>
      </c>
      <c r="T49" t="s">
        <v>821</v>
      </c>
      <c r="U49" t="s">
        <v>822</v>
      </c>
      <c r="V49" t="s">
        <v>823</v>
      </c>
      <c r="W49" t="s">
        <v>824</v>
      </c>
      <c r="X49" t="s">
        <v>825</v>
      </c>
      <c r="Y49" t="s">
        <v>826</v>
      </c>
      <c r="Z49" t="s">
        <v>74</v>
      </c>
      <c r="AA49" t="s">
        <v>74</v>
      </c>
      <c r="AB49" t="s">
        <v>827</v>
      </c>
      <c r="AC49" t="s">
        <v>74</v>
      </c>
      <c r="AD49" t="s">
        <v>74</v>
      </c>
      <c r="AE49" t="s">
        <v>74</v>
      </c>
      <c r="AF49" t="s">
        <v>74</v>
      </c>
      <c r="AG49">
        <v>36</v>
      </c>
      <c r="AH49">
        <v>82</v>
      </c>
      <c r="AI49">
        <v>90</v>
      </c>
      <c r="AJ49">
        <v>1</v>
      </c>
      <c r="AK49">
        <v>11</v>
      </c>
      <c r="AL49" t="s">
        <v>753</v>
      </c>
      <c r="AM49" t="s">
        <v>195</v>
      </c>
      <c r="AN49" t="s">
        <v>754</v>
      </c>
      <c r="AO49" t="s">
        <v>755</v>
      </c>
      <c r="AP49" t="s">
        <v>74</v>
      </c>
      <c r="AQ49" t="s">
        <v>74</v>
      </c>
      <c r="AR49" t="s">
        <v>756</v>
      </c>
      <c r="AS49" t="s">
        <v>757</v>
      </c>
      <c r="AT49" t="s">
        <v>718</v>
      </c>
      <c r="AU49">
        <v>2002</v>
      </c>
      <c r="AV49">
        <v>14</v>
      </c>
      <c r="AW49">
        <v>2</v>
      </c>
      <c r="AX49" t="s">
        <v>74</v>
      </c>
      <c r="AY49" t="s">
        <v>74</v>
      </c>
      <c r="AZ49" t="s">
        <v>74</v>
      </c>
      <c r="BA49" t="s">
        <v>74</v>
      </c>
      <c r="BB49">
        <v>151</v>
      </c>
      <c r="BC49">
        <v>161</v>
      </c>
      <c r="BD49" t="s">
        <v>74</v>
      </c>
      <c r="BE49" t="s">
        <v>828</v>
      </c>
      <c r="BF49" t="str">
        <f>HYPERLINK("http://dx.doi.org/10.1017/S0954102002000718","http://dx.doi.org/10.1017/S0954102002000718")</f>
        <v>http://dx.doi.org/10.1017/S0954102002000718</v>
      </c>
      <c r="BG49" t="s">
        <v>74</v>
      </c>
      <c r="BH49" t="s">
        <v>74</v>
      </c>
      <c r="BI49">
        <v>11</v>
      </c>
      <c r="BJ49" t="s">
        <v>759</v>
      </c>
      <c r="BK49" t="s">
        <v>170</v>
      </c>
      <c r="BL49" t="s">
        <v>760</v>
      </c>
      <c r="BM49" t="s">
        <v>761</v>
      </c>
      <c r="BN49" t="s">
        <v>74</v>
      </c>
      <c r="BO49" t="s">
        <v>74</v>
      </c>
      <c r="BP49" t="s">
        <v>74</v>
      </c>
      <c r="BQ49" t="s">
        <v>74</v>
      </c>
      <c r="BR49" t="s">
        <v>107</v>
      </c>
      <c r="BS49" t="s">
        <v>829</v>
      </c>
      <c r="BT49" t="str">
        <f>HYPERLINK("https%3A%2F%2Fwww.webofscience.com%2Fwos%2Fwoscc%2Ffull-record%2FWOS:000176315100007","View Full Record in Web of Science")</f>
        <v>View Full Record in Web of Science</v>
      </c>
    </row>
    <row r="50" spans="1:72" x14ac:dyDescent="0.15">
      <c r="A50" t="s">
        <v>72</v>
      </c>
      <c r="B50" t="s">
        <v>830</v>
      </c>
      <c r="C50" t="s">
        <v>74</v>
      </c>
      <c r="D50" t="s">
        <v>74</v>
      </c>
      <c r="E50" t="s">
        <v>74</v>
      </c>
      <c r="F50" t="s">
        <v>830</v>
      </c>
      <c r="G50" t="s">
        <v>74</v>
      </c>
      <c r="H50" t="s">
        <v>74</v>
      </c>
      <c r="I50" t="s">
        <v>831</v>
      </c>
      <c r="J50" t="s">
        <v>750</v>
      </c>
      <c r="K50" t="s">
        <v>74</v>
      </c>
      <c r="L50" t="s">
        <v>74</v>
      </c>
      <c r="M50" t="s">
        <v>77</v>
      </c>
      <c r="N50" t="s">
        <v>153</v>
      </c>
      <c r="O50" t="s">
        <v>74</v>
      </c>
      <c r="P50" t="s">
        <v>74</v>
      </c>
      <c r="Q50" t="s">
        <v>74</v>
      </c>
      <c r="R50" t="s">
        <v>74</v>
      </c>
      <c r="S50" t="s">
        <v>74</v>
      </c>
      <c r="T50" t="s">
        <v>832</v>
      </c>
      <c r="U50" t="s">
        <v>833</v>
      </c>
      <c r="V50" t="s">
        <v>834</v>
      </c>
      <c r="W50" t="s">
        <v>835</v>
      </c>
      <c r="X50" t="s">
        <v>74</v>
      </c>
      <c r="Y50" t="s">
        <v>836</v>
      </c>
      <c r="Z50" t="s">
        <v>74</v>
      </c>
      <c r="AA50" t="s">
        <v>74</v>
      </c>
      <c r="AB50" t="s">
        <v>74</v>
      </c>
      <c r="AC50" t="s">
        <v>74</v>
      </c>
      <c r="AD50" t="s">
        <v>74</v>
      </c>
      <c r="AE50" t="s">
        <v>74</v>
      </c>
      <c r="AF50" t="s">
        <v>74</v>
      </c>
      <c r="AG50">
        <v>24</v>
      </c>
      <c r="AH50">
        <v>40</v>
      </c>
      <c r="AI50">
        <v>49</v>
      </c>
      <c r="AJ50">
        <v>1</v>
      </c>
      <c r="AK50">
        <v>8</v>
      </c>
      <c r="AL50" t="s">
        <v>753</v>
      </c>
      <c r="AM50" t="s">
        <v>195</v>
      </c>
      <c r="AN50" t="s">
        <v>754</v>
      </c>
      <c r="AO50" t="s">
        <v>755</v>
      </c>
      <c r="AP50" t="s">
        <v>74</v>
      </c>
      <c r="AQ50" t="s">
        <v>74</v>
      </c>
      <c r="AR50" t="s">
        <v>756</v>
      </c>
      <c r="AS50" t="s">
        <v>757</v>
      </c>
      <c r="AT50" t="s">
        <v>718</v>
      </c>
      <c r="AU50">
        <v>2002</v>
      </c>
      <c r="AV50">
        <v>14</v>
      </c>
      <c r="AW50">
        <v>2</v>
      </c>
      <c r="AX50" t="s">
        <v>74</v>
      </c>
      <c r="AY50" t="s">
        <v>74</v>
      </c>
      <c r="AZ50" t="s">
        <v>74</v>
      </c>
      <c r="BA50" t="s">
        <v>74</v>
      </c>
      <c r="BB50">
        <v>162</v>
      </c>
      <c r="BC50">
        <v>170</v>
      </c>
      <c r="BD50" t="s">
        <v>74</v>
      </c>
      <c r="BE50" t="s">
        <v>837</v>
      </c>
      <c r="BF50" t="str">
        <f>HYPERLINK("http://dx.doi.org/10.1017/S095410200200072X","http://dx.doi.org/10.1017/S095410200200072X")</f>
        <v>http://dx.doi.org/10.1017/S095410200200072X</v>
      </c>
      <c r="BG50" t="s">
        <v>74</v>
      </c>
      <c r="BH50" t="s">
        <v>74</v>
      </c>
      <c r="BI50">
        <v>9</v>
      </c>
      <c r="BJ50" t="s">
        <v>759</v>
      </c>
      <c r="BK50" t="s">
        <v>170</v>
      </c>
      <c r="BL50" t="s">
        <v>760</v>
      </c>
      <c r="BM50" t="s">
        <v>761</v>
      </c>
      <c r="BN50" t="s">
        <v>74</v>
      </c>
      <c r="BO50" t="s">
        <v>74</v>
      </c>
      <c r="BP50" t="s">
        <v>74</v>
      </c>
      <c r="BQ50" t="s">
        <v>74</v>
      </c>
      <c r="BR50" t="s">
        <v>107</v>
      </c>
      <c r="BS50" t="s">
        <v>838</v>
      </c>
      <c r="BT50" t="str">
        <f>HYPERLINK("https%3A%2F%2Fwww.webofscience.com%2Fwos%2Fwoscc%2Ffull-record%2FWOS:000176315100008","View Full Record in Web of Science")</f>
        <v>View Full Record in Web of Science</v>
      </c>
    </row>
    <row r="51" spans="1:72" x14ac:dyDescent="0.15">
      <c r="A51" t="s">
        <v>72</v>
      </c>
      <c r="B51" t="s">
        <v>839</v>
      </c>
      <c r="C51" t="s">
        <v>74</v>
      </c>
      <c r="D51" t="s">
        <v>74</v>
      </c>
      <c r="E51" t="s">
        <v>74</v>
      </c>
      <c r="F51" t="s">
        <v>839</v>
      </c>
      <c r="G51" t="s">
        <v>74</v>
      </c>
      <c r="H51" t="s">
        <v>74</v>
      </c>
      <c r="I51" t="s">
        <v>840</v>
      </c>
      <c r="J51" t="s">
        <v>750</v>
      </c>
      <c r="K51" t="s">
        <v>74</v>
      </c>
      <c r="L51" t="s">
        <v>74</v>
      </c>
      <c r="M51" t="s">
        <v>77</v>
      </c>
      <c r="N51" t="s">
        <v>153</v>
      </c>
      <c r="O51" t="s">
        <v>74</v>
      </c>
      <c r="P51" t="s">
        <v>74</v>
      </c>
      <c r="Q51" t="s">
        <v>74</v>
      </c>
      <c r="R51" t="s">
        <v>74</v>
      </c>
      <c r="S51" t="s">
        <v>74</v>
      </c>
      <c r="T51" t="s">
        <v>74</v>
      </c>
      <c r="U51" t="s">
        <v>74</v>
      </c>
      <c r="V51" t="s">
        <v>74</v>
      </c>
      <c r="W51" t="s">
        <v>841</v>
      </c>
      <c r="X51" t="s">
        <v>842</v>
      </c>
      <c r="Y51" t="s">
        <v>74</v>
      </c>
      <c r="Z51" t="s">
        <v>843</v>
      </c>
      <c r="AA51" t="s">
        <v>74</v>
      </c>
      <c r="AB51" t="s">
        <v>74</v>
      </c>
      <c r="AC51" t="s">
        <v>74</v>
      </c>
      <c r="AD51" t="s">
        <v>74</v>
      </c>
      <c r="AE51" t="s">
        <v>74</v>
      </c>
      <c r="AF51" t="s">
        <v>74</v>
      </c>
      <c r="AG51">
        <v>11</v>
      </c>
      <c r="AH51">
        <v>0</v>
      </c>
      <c r="AI51">
        <v>0</v>
      </c>
      <c r="AJ51">
        <v>0</v>
      </c>
      <c r="AK51">
        <v>1</v>
      </c>
      <c r="AL51" t="s">
        <v>753</v>
      </c>
      <c r="AM51" t="s">
        <v>195</v>
      </c>
      <c r="AN51" t="s">
        <v>803</v>
      </c>
      <c r="AO51" t="s">
        <v>755</v>
      </c>
      <c r="AP51" t="s">
        <v>804</v>
      </c>
      <c r="AQ51" t="s">
        <v>74</v>
      </c>
      <c r="AR51" t="s">
        <v>756</v>
      </c>
      <c r="AS51" t="s">
        <v>757</v>
      </c>
      <c r="AT51" t="s">
        <v>718</v>
      </c>
      <c r="AU51">
        <v>2002</v>
      </c>
      <c r="AV51">
        <v>14</v>
      </c>
      <c r="AW51">
        <v>2</v>
      </c>
      <c r="AX51" t="s">
        <v>74</v>
      </c>
      <c r="AY51" t="s">
        <v>74</v>
      </c>
      <c r="AZ51" t="s">
        <v>74</v>
      </c>
      <c r="BA51" t="s">
        <v>74</v>
      </c>
      <c r="BB51">
        <v>171</v>
      </c>
      <c r="BC51">
        <v>173</v>
      </c>
      <c r="BD51" t="s">
        <v>74</v>
      </c>
      <c r="BE51" t="s">
        <v>844</v>
      </c>
      <c r="BF51" t="str">
        <f>HYPERLINK("http://dx.doi.org/10.1017/S0954102002000731","http://dx.doi.org/10.1017/S0954102002000731")</f>
        <v>http://dx.doi.org/10.1017/S0954102002000731</v>
      </c>
      <c r="BG51" t="s">
        <v>74</v>
      </c>
      <c r="BH51" t="s">
        <v>74</v>
      </c>
      <c r="BI51">
        <v>3</v>
      </c>
      <c r="BJ51" t="s">
        <v>759</v>
      </c>
      <c r="BK51" t="s">
        <v>170</v>
      </c>
      <c r="BL51" t="s">
        <v>760</v>
      </c>
      <c r="BM51" t="s">
        <v>761</v>
      </c>
      <c r="BN51" t="s">
        <v>74</v>
      </c>
      <c r="BO51" t="s">
        <v>74</v>
      </c>
      <c r="BP51" t="s">
        <v>74</v>
      </c>
      <c r="BQ51" t="s">
        <v>74</v>
      </c>
      <c r="BR51" t="s">
        <v>107</v>
      </c>
      <c r="BS51" t="s">
        <v>845</v>
      </c>
      <c r="BT51" t="str">
        <f>HYPERLINK("https%3A%2F%2Fwww.webofscience.com%2Fwos%2Fwoscc%2Ffull-record%2FWOS:000176315100009","View Full Record in Web of Science")</f>
        <v>View Full Record in Web of Science</v>
      </c>
    </row>
    <row r="52" spans="1:72" x14ac:dyDescent="0.15">
      <c r="A52" t="s">
        <v>72</v>
      </c>
      <c r="B52" t="s">
        <v>846</v>
      </c>
      <c r="C52" t="s">
        <v>74</v>
      </c>
      <c r="D52" t="s">
        <v>74</v>
      </c>
      <c r="E52" t="s">
        <v>74</v>
      </c>
      <c r="F52" t="s">
        <v>846</v>
      </c>
      <c r="G52" t="s">
        <v>74</v>
      </c>
      <c r="H52" t="s">
        <v>74</v>
      </c>
      <c r="I52" t="s">
        <v>847</v>
      </c>
      <c r="J52" t="s">
        <v>750</v>
      </c>
      <c r="K52" t="s">
        <v>74</v>
      </c>
      <c r="L52" t="s">
        <v>74</v>
      </c>
      <c r="M52" t="s">
        <v>77</v>
      </c>
      <c r="N52" t="s">
        <v>153</v>
      </c>
      <c r="O52" t="s">
        <v>74</v>
      </c>
      <c r="P52" t="s">
        <v>74</v>
      </c>
      <c r="Q52" t="s">
        <v>74</v>
      </c>
      <c r="R52" t="s">
        <v>74</v>
      </c>
      <c r="S52" t="s">
        <v>74</v>
      </c>
      <c r="T52" t="s">
        <v>848</v>
      </c>
      <c r="U52" t="s">
        <v>849</v>
      </c>
      <c r="V52" t="s">
        <v>850</v>
      </c>
      <c r="W52" t="s">
        <v>851</v>
      </c>
      <c r="X52" t="s">
        <v>852</v>
      </c>
      <c r="Y52" t="s">
        <v>853</v>
      </c>
      <c r="Z52" t="s">
        <v>74</v>
      </c>
      <c r="AA52" t="s">
        <v>854</v>
      </c>
      <c r="AB52" t="s">
        <v>74</v>
      </c>
      <c r="AC52" t="s">
        <v>74</v>
      </c>
      <c r="AD52" t="s">
        <v>74</v>
      </c>
      <c r="AE52" t="s">
        <v>74</v>
      </c>
      <c r="AF52" t="s">
        <v>74</v>
      </c>
      <c r="AG52">
        <v>29</v>
      </c>
      <c r="AH52">
        <v>7</v>
      </c>
      <c r="AI52">
        <v>7</v>
      </c>
      <c r="AJ52">
        <v>0</v>
      </c>
      <c r="AK52">
        <v>6</v>
      </c>
      <c r="AL52" t="s">
        <v>753</v>
      </c>
      <c r="AM52" t="s">
        <v>195</v>
      </c>
      <c r="AN52" t="s">
        <v>803</v>
      </c>
      <c r="AO52" t="s">
        <v>755</v>
      </c>
      <c r="AP52" t="s">
        <v>804</v>
      </c>
      <c r="AQ52" t="s">
        <v>74</v>
      </c>
      <c r="AR52" t="s">
        <v>756</v>
      </c>
      <c r="AS52" t="s">
        <v>757</v>
      </c>
      <c r="AT52" t="s">
        <v>718</v>
      </c>
      <c r="AU52">
        <v>2002</v>
      </c>
      <c r="AV52">
        <v>14</v>
      </c>
      <c r="AW52">
        <v>2</v>
      </c>
      <c r="AX52" t="s">
        <v>74</v>
      </c>
      <c r="AY52" t="s">
        <v>74</v>
      </c>
      <c r="AZ52" t="s">
        <v>74</v>
      </c>
      <c r="BA52" t="s">
        <v>74</v>
      </c>
      <c r="BB52">
        <v>175</v>
      </c>
      <c r="BC52">
        <v>183</v>
      </c>
      <c r="BD52" t="s">
        <v>74</v>
      </c>
      <c r="BE52" t="s">
        <v>855</v>
      </c>
      <c r="BF52" t="str">
        <f>HYPERLINK("http://dx.doi.org/10.1017/S0954102002000743","http://dx.doi.org/10.1017/S0954102002000743")</f>
        <v>http://dx.doi.org/10.1017/S0954102002000743</v>
      </c>
      <c r="BG52" t="s">
        <v>74</v>
      </c>
      <c r="BH52" t="s">
        <v>74</v>
      </c>
      <c r="BI52">
        <v>9</v>
      </c>
      <c r="BJ52" t="s">
        <v>759</v>
      </c>
      <c r="BK52" t="s">
        <v>170</v>
      </c>
      <c r="BL52" t="s">
        <v>760</v>
      </c>
      <c r="BM52" t="s">
        <v>761</v>
      </c>
      <c r="BN52" t="s">
        <v>74</v>
      </c>
      <c r="BO52" t="s">
        <v>74</v>
      </c>
      <c r="BP52" t="s">
        <v>74</v>
      </c>
      <c r="BQ52" t="s">
        <v>74</v>
      </c>
      <c r="BR52" t="s">
        <v>107</v>
      </c>
      <c r="BS52" t="s">
        <v>856</v>
      </c>
      <c r="BT52" t="str">
        <f>HYPERLINK("https%3A%2F%2Fwww.webofscience.com%2Fwos%2Fwoscc%2Ffull-record%2FWOS:000176315100010","View Full Record in Web of Science")</f>
        <v>View Full Record in Web of Science</v>
      </c>
    </row>
    <row r="53" spans="1:72" x14ac:dyDescent="0.15">
      <c r="A53" t="s">
        <v>72</v>
      </c>
      <c r="B53" t="s">
        <v>857</v>
      </c>
      <c r="C53" t="s">
        <v>74</v>
      </c>
      <c r="D53" t="s">
        <v>74</v>
      </c>
      <c r="E53" t="s">
        <v>74</v>
      </c>
      <c r="F53" t="s">
        <v>857</v>
      </c>
      <c r="G53" t="s">
        <v>74</v>
      </c>
      <c r="H53" t="s">
        <v>74</v>
      </c>
      <c r="I53" t="s">
        <v>858</v>
      </c>
      <c r="J53" t="s">
        <v>750</v>
      </c>
      <c r="K53" t="s">
        <v>74</v>
      </c>
      <c r="L53" t="s">
        <v>74</v>
      </c>
      <c r="M53" t="s">
        <v>77</v>
      </c>
      <c r="N53" t="s">
        <v>153</v>
      </c>
      <c r="O53" t="s">
        <v>74</v>
      </c>
      <c r="P53" t="s">
        <v>74</v>
      </c>
      <c r="Q53" t="s">
        <v>74</v>
      </c>
      <c r="R53" t="s">
        <v>74</v>
      </c>
      <c r="S53" t="s">
        <v>74</v>
      </c>
      <c r="T53" t="s">
        <v>859</v>
      </c>
      <c r="U53" t="s">
        <v>860</v>
      </c>
      <c r="V53" t="s">
        <v>861</v>
      </c>
      <c r="W53" t="s">
        <v>851</v>
      </c>
      <c r="X53" t="s">
        <v>852</v>
      </c>
      <c r="Y53" t="s">
        <v>862</v>
      </c>
      <c r="Z53" t="s">
        <v>74</v>
      </c>
      <c r="AA53" t="s">
        <v>74</v>
      </c>
      <c r="AB53" t="s">
        <v>74</v>
      </c>
      <c r="AC53" t="s">
        <v>74</v>
      </c>
      <c r="AD53" t="s">
        <v>74</v>
      </c>
      <c r="AE53" t="s">
        <v>74</v>
      </c>
      <c r="AF53" t="s">
        <v>74</v>
      </c>
      <c r="AG53">
        <v>18</v>
      </c>
      <c r="AH53">
        <v>0</v>
      </c>
      <c r="AI53">
        <v>0</v>
      </c>
      <c r="AJ53">
        <v>0</v>
      </c>
      <c r="AK53">
        <v>3</v>
      </c>
      <c r="AL53" t="s">
        <v>753</v>
      </c>
      <c r="AM53" t="s">
        <v>195</v>
      </c>
      <c r="AN53" t="s">
        <v>754</v>
      </c>
      <c r="AO53" t="s">
        <v>755</v>
      </c>
      <c r="AP53" t="s">
        <v>74</v>
      </c>
      <c r="AQ53" t="s">
        <v>74</v>
      </c>
      <c r="AR53" t="s">
        <v>756</v>
      </c>
      <c r="AS53" t="s">
        <v>757</v>
      </c>
      <c r="AT53" t="s">
        <v>718</v>
      </c>
      <c r="AU53">
        <v>2002</v>
      </c>
      <c r="AV53">
        <v>14</v>
      </c>
      <c r="AW53">
        <v>2</v>
      </c>
      <c r="AX53" t="s">
        <v>74</v>
      </c>
      <c r="AY53" t="s">
        <v>74</v>
      </c>
      <c r="AZ53" t="s">
        <v>74</v>
      </c>
      <c r="BA53" t="s">
        <v>74</v>
      </c>
      <c r="BB53">
        <v>185</v>
      </c>
      <c r="BC53">
        <v>194</v>
      </c>
      <c r="BD53" t="s">
        <v>74</v>
      </c>
      <c r="BE53" t="s">
        <v>863</v>
      </c>
      <c r="BF53" t="str">
        <f>HYPERLINK("http://dx.doi.org/10.1017/S0954102002000755","http://dx.doi.org/10.1017/S0954102002000755")</f>
        <v>http://dx.doi.org/10.1017/S0954102002000755</v>
      </c>
      <c r="BG53" t="s">
        <v>74</v>
      </c>
      <c r="BH53" t="s">
        <v>74</v>
      </c>
      <c r="BI53">
        <v>10</v>
      </c>
      <c r="BJ53" t="s">
        <v>759</v>
      </c>
      <c r="BK53" t="s">
        <v>170</v>
      </c>
      <c r="BL53" t="s">
        <v>760</v>
      </c>
      <c r="BM53" t="s">
        <v>761</v>
      </c>
      <c r="BN53" t="s">
        <v>74</v>
      </c>
      <c r="BO53" t="s">
        <v>74</v>
      </c>
      <c r="BP53" t="s">
        <v>74</v>
      </c>
      <c r="BQ53" t="s">
        <v>74</v>
      </c>
      <c r="BR53" t="s">
        <v>107</v>
      </c>
      <c r="BS53" t="s">
        <v>864</v>
      </c>
      <c r="BT53" t="str">
        <f>HYPERLINK("https%3A%2F%2Fwww.webofscience.com%2Fwos%2Fwoscc%2Ffull-record%2FWOS:000176315100011","View Full Record in Web of Science")</f>
        <v>View Full Record in Web of Science</v>
      </c>
    </row>
    <row r="54" spans="1:72" x14ac:dyDescent="0.15">
      <c r="A54" t="s">
        <v>72</v>
      </c>
      <c r="B54" t="s">
        <v>865</v>
      </c>
      <c r="C54" t="s">
        <v>74</v>
      </c>
      <c r="D54" t="s">
        <v>74</v>
      </c>
      <c r="E54" t="s">
        <v>74</v>
      </c>
      <c r="F54" t="s">
        <v>865</v>
      </c>
      <c r="G54" t="s">
        <v>74</v>
      </c>
      <c r="H54" t="s">
        <v>74</v>
      </c>
      <c r="I54" t="s">
        <v>866</v>
      </c>
      <c r="J54" t="s">
        <v>867</v>
      </c>
      <c r="K54" t="s">
        <v>74</v>
      </c>
      <c r="L54" t="s">
        <v>74</v>
      </c>
      <c r="M54" t="s">
        <v>77</v>
      </c>
      <c r="N54" t="s">
        <v>153</v>
      </c>
      <c r="O54" t="s">
        <v>74</v>
      </c>
      <c r="P54" t="s">
        <v>74</v>
      </c>
      <c r="Q54" t="s">
        <v>74</v>
      </c>
      <c r="R54" t="s">
        <v>74</v>
      </c>
      <c r="S54" t="s">
        <v>74</v>
      </c>
      <c r="T54" t="s">
        <v>74</v>
      </c>
      <c r="U54" t="s">
        <v>868</v>
      </c>
      <c r="V54" t="s">
        <v>869</v>
      </c>
      <c r="W54" t="s">
        <v>870</v>
      </c>
      <c r="X54" t="s">
        <v>871</v>
      </c>
      <c r="Y54" t="s">
        <v>872</v>
      </c>
      <c r="Z54" t="s">
        <v>74</v>
      </c>
      <c r="AA54" t="s">
        <v>74</v>
      </c>
      <c r="AB54" t="s">
        <v>873</v>
      </c>
      <c r="AC54" t="s">
        <v>74</v>
      </c>
      <c r="AD54" t="s">
        <v>74</v>
      </c>
      <c r="AE54" t="s">
        <v>74</v>
      </c>
      <c r="AF54" t="s">
        <v>74</v>
      </c>
      <c r="AG54">
        <v>24</v>
      </c>
      <c r="AH54">
        <v>33</v>
      </c>
      <c r="AI54">
        <v>43</v>
      </c>
      <c r="AJ54">
        <v>0</v>
      </c>
      <c r="AK54">
        <v>7</v>
      </c>
      <c r="AL54" t="s">
        <v>874</v>
      </c>
      <c r="AM54" t="s">
        <v>162</v>
      </c>
      <c r="AN54" t="s">
        <v>875</v>
      </c>
      <c r="AO54" t="s">
        <v>876</v>
      </c>
      <c r="AP54" t="s">
        <v>74</v>
      </c>
      <c r="AQ54" t="s">
        <v>74</v>
      </c>
      <c r="AR54" t="s">
        <v>877</v>
      </c>
      <c r="AS54" t="s">
        <v>878</v>
      </c>
      <c r="AT54" t="s">
        <v>718</v>
      </c>
      <c r="AU54">
        <v>2002</v>
      </c>
      <c r="AV54">
        <v>68</v>
      </c>
      <c r="AW54">
        <v>6</v>
      </c>
      <c r="AX54" t="s">
        <v>74</v>
      </c>
      <c r="AY54" t="s">
        <v>74</v>
      </c>
      <c r="AZ54" t="s">
        <v>74</v>
      </c>
      <c r="BA54" t="s">
        <v>74</v>
      </c>
      <c r="BB54">
        <v>2809</v>
      </c>
      <c r="BC54">
        <v>2813</v>
      </c>
      <c r="BD54" t="s">
        <v>74</v>
      </c>
      <c r="BE54" t="s">
        <v>879</v>
      </c>
      <c r="BF54" t="str">
        <f>HYPERLINK("http://dx.doi.org/10.1128/AEM.68.6.2809-2813.2002","http://dx.doi.org/10.1128/AEM.68.6.2809-2813.2002")</f>
        <v>http://dx.doi.org/10.1128/AEM.68.6.2809-2813.2002</v>
      </c>
      <c r="BG54" t="s">
        <v>74</v>
      </c>
      <c r="BH54" t="s">
        <v>74</v>
      </c>
      <c r="BI54">
        <v>5</v>
      </c>
      <c r="BJ54" t="s">
        <v>880</v>
      </c>
      <c r="BK54" t="s">
        <v>170</v>
      </c>
      <c r="BL54" t="s">
        <v>880</v>
      </c>
      <c r="BM54" t="s">
        <v>881</v>
      </c>
      <c r="BN54">
        <v>12039736</v>
      </c>
      <c r="BO54" t="s">
        <v>106</v>
      </c>
      <c r="BP54" t="s">
        <v>74</v>
      </c>
      <c r="BQ54" t="s">
        <v>74</v>
      </c>
      <c r="BR54" t="s">
        <v>107</v>
      </c>
      <c r="BS54" t="s">
        <v>882</v>
      </c>
      <c r="BT54" t="str">
        <f>HYPERLINK("https%3A%2F%2Fwww.webofscience.com%2Fwos%2Fwoscc%2Ffull-record%2FWOS:000176030100024","View Full Record in Web of Science")</f>
        <v>View Full Record in Web of Science</v>
      </c>
    </row>
    <row r="55" spans="1:72" x14ac:dyDescent="0.15">
      <c r="A55" t="s">
        <v>72</v>
      </c>
      <c r="B55" t="s">
        <v>883</v>
      </c>
      <c r="C55" t="s">
        <v>74</v>
      </c>
      <c r="D55" t="s">
        <v>74</v>
      </c>
      <c r="E55" t="s">
        <v>74</v>
      </c>
      <c r="F55" t="s">
        <v>883</v>
      </c>
      <c r="G55" t="s">
        <v>74</v>
      </c>
      <c r="H55" t="s">
        <v>74</v>
      </c>
      <c r="I55" t="s">
        <v>884</v>
      </c>
      <c r="J55" t="s">
        <v>885</v>
      </c>
      <c r="K55" t="s">
        <v>74</v>
      </c>
      <c r="L55" t="s">
        <v>74</v>
      </c>
      <c r="M55" t="s">
        <v>77</v>
      </c>
      <c r="N55" t="s">
        <v>153</v>
      </c>
      <c r="O55" t="s">
        <v>74</v>
      </c>
      <c r="P55" t="s">
        <v>74</v>
      </c>
      <c r="Q55" t="s">
        <v>74</v>
      </c>
      <c r="R55" t="s">
        <v>74</v>
      </c>
      <c r="S55" t="s">
        <v>74</v>
      </c>
      <c r="T55" t="s">
        <v>886</v>
      </c>
      <c r="U55" t="s">
        <v>74</v>
      </c>
      <c r="V55" t="s">
        <v>887</v>
      </c>
      <c r="W55" t="s">
        <v>888</v>
      </c>
      <c r="X55" t="s">
        <v>889</v>
      </c>
      <c r="Y55" t="s">
        <v>890</v>
      </c>
      <c r="Z55" t="s">
        <v>891</v>
      </c>
      <c r="AA55" t="s">
        <v>892</v>
      </c>
      <c r="AB55" t="s">
        <v>893</v>
      </c>
      <c r="AC55" t="s">
        <v>74</v>
      </c>
      <c r="AD55" t="s">
        <v>74</v>
      </c>
      <c r="AE55" t="s">
        <v>74</v>
      </c>
      <c r="AF55" t="s">
        <v>74</v>
      </c>
      <c r="AG55">
        <v>26</v>
      </c>
      <c r="AH55">
        <v>9</v>
      </c>
      <c r="AI55">
        <v>9</v>
      </c>
      <c r="AJ55">
        <v>0</v>
      </c>
      <c r="AK55">
        <v>0</v>
      </c>
      <c r="AL55" t="s">
        <v>894</v>
      </c>
      <c r="AM55" t="s">
        <v>895</v>
      </c>
      <c r="AN55" t="s">
        <v>896</v>
      </c>
      <c r="AO55" t="s">
        <v>897</v>
      </c>
      <c r="AP55" t="s">
        <v>898</v>
      </c>
      <c r="AQ55" t="s">
        <v>74</v>
      </c>
      <c r="AR55" t="s">
        <v>899</v>
      </c>
      <c r="AS55" t="s">
        <v>900</v>
      </c>
      <c r="AT55" t="s">
        <v>718</v>
      </c>
      <c r="AU55">
        <v>2002</v>
      </c>
      <c r="AV55">
        <v>30</v>
      </c>
      <c r="AW55">
        <v>4</v>
      </c>
      <c r="AX55" t="s">
        <v>74</v>
      </c>
      <c r="AY55" t="s">
        <v>74</v>
      </c>
      <c r="AZ55" t="s">
        <v>74</v>
      </c>
      <c r="BA55" t="s">
        <v>74</v>
      </c>
      <c r="BB55">
        <v>315</v>
      </c>
      <c r="BC55">
        <v>328</v>
      </c>
      <c r="BD55" t="s">
        <v>901</v>
      </c>
      <c r="BE55" t="s">
        <v>902</v>
      </c>
      <c r="BF55" t="str">
        <f>HYPERLINK("http://dx.doi.org/10.1016/S1467-8039(02)00008-7","http://dx.doi.org/10.1016/S1467-8039(02)00008-7")</f>
        <v>http://dx.doi.org/10.1016/S1467-8039(02)00008-7</v>
      </c>
      <c r="BG55" t="s">
        <v>74</v>
      </c>
      <c r="BH55" t="s">
        <v>74</v>
      </c>
      <c r="BI55">
        <v>14</v>
      </c>
      <c r="BJ55" t="s">
        <v>903</v>
      </c>
      <c r="BK55" t="s">
        <v>170</v>
      </c>
      <c r="BL55" t="s">
        <v>903</v>
      </c>
      <c r="BM55" t="s">
        <v>904</v>
      </c>
      <c r="BN55">
        <v>18088964</v>
      </c>
      <c r="BO55" t="s">
        <v>74</v>
      </c>
      <c r="BP55" t="s">
        <v>74</v>
      </c>
      <c r="BQ55" t="s">
        <v>74</v>
      </c>
      <c r="BR55" t="s">
        <v>107</v>
      </c>
      <c r="BS55" t="s">
        <v>905</v>
      </c>
      <c r="BT55" t="str">
        <f>HYPERLINK("https%3A%2F%2Fwww.webofscience.com%2Fwos%2Fwoscc%2Ffull-record%2FWOS:000176822300005","View Full Record in Web of Science")</f>
        <v>View Full Record in Web of Science</v>
      </c>
    </row>
    <row r="56" spans="1:72" x14ac:dyDescent="0.15">
      <c r="A56" t="s">
        <v>72</v>
      </c>
      <c r="B56" t="s">
        <v>906</v>
      </c>
      <c r="C56" t="s">
        <v>74</v>
      </c>
      <c r="D56" t="s">
        <v>74</v>
      </c>
      <c r="E56" t="s">
        <v>74</v>
      </c>
      <c r="F56" t="s">
        <v>906</v>
      </c>
      <c r="G56" t="s">
        <v>74</v>
      </c>
      <c r="H56" t="s">
        <v>74</v>
      </c>
      <c r="I56" t="s">
        <v>907</v>
      </c>
      <c r="J56" t="s">
        <v>908</v>
      </c>
      <c r="K56" t="s">
        <v>74</v>
      </c>
      <c r="L56" t="s">
        <v>74</v>
      </c>
      <c r="M56" t="s">
        <v>77</v>
      </c>
      <c r="N56" t="s">
        <v>78</v>
      </c>
      <c r="O56" t="s">
        <v>909</v>
      </c>
      <c r="P56" t="s">
        <v>910</v>
      </c>
      <c r="Q56" t="s">
        <v>911</v>
      </c>
      <c r="R56" t="s">
        <v>74</v>
      </c>
      <c r="S56" t="s">
        <v>74</v>
      </c>
      <c r="T56" t="s">
        <v>74</v>
      </c>
      <c r="U56" t="s">
        <v>912</v>
      </c>
      <c r="V56" t="s">
        <v>913</v>
      </c>
      <c r="W56" t="s">
        <v>914</v>
      </c>
      <c r="X56" t="s">
        <v>915</v>
      </c>
      <c r="Y56" t="s">
        <v>916</v>
      </c>
      <c r="Z56" t="s">
        <v>74</v>
      </c>
      <c r="AA56" t="s">
        <v>74</v>
      </c>
      <c r="AB56" t="s">
        <v>74</v>
      </c>
      <c r="AC56" t="s">
        <v>74</v>
      </c>
      <c r="AD56" t="s">
        <v>74</v>
      </c>
      <c r="AE56" t="s">
        <v>74</v>
      </c>
      <c r="AF56" t="s">
        <v>74</v>
      </c>
      <c r="AG56">
        <v>20</v>
      </c>
      <c r="AH56">
        <v>0</v>
      </c>
      <c r="AI56">
        <v>0</v>
      </c>
      <c r="AJ56">
        <v>0</v>
      </c>
      <c r="AK56">
        <v>0</v>
      </c>
      <c r="AL56" t="s">
        <v>917</v>
      </c>
      <c r="AM56" t="s">
        <v>918</v>
      </c>
      <c r="AN56" t="s">
        <v>919</v>
      </c>
      <c r="AO56" t="s">
        <v>920</v>
      </c>
      <c r="AP56" t="s">
        <v>74</v>
      </c>
      <c r="AQ56" t="s">
        <v>74</v>
      </c>
      <c r="AR56" t="s">
        <v>921</v>
      </c>
      <c r="AS56" t="s">
        <v>922</v>
      </c>
      <c r="AT56" t="s">
        <v>718</v>
      </c>
      <c r="AU56">
        <v>2002</v>
      </c>
      <c r="AV56">
        <v>51</v>
      </c>
      <c r="AW56">
        <v>2</v>
      </c>
      <c r="AX56" t="s">
        <v>74</v>
      </c>
      <c r="AY56" t="s">
        <v>74</v>
      </c>
      <c r="AZ56" t="s">
        <v>74</v>
      </c>
      <c r="BA56" t="s">
        <v>74</v>
      </c>
      <c r="BB56">
        <v>95</v>
      </c>
      <c r="BC56">
        <v>106</v>
      </c>
      <c r="BD56" t="s">
        <v>74</v>
      </c>
      <c r="BE56" t="s">
        <v>74</v>
      </c>
      <c r="BF56" t="s">
        <v>74</v>
      </c>
      <c r="BG56" t="s">
        <v>74</v>
      </c>
      <c r="BH56" t="s">
        <v>74</v>
      </c>
      <c r="BI56">
        <v>12</v>
      </c>
      <c r="BJ56" t="s">
        <v>403</v>
      </c>
      <c r="BK56" t="s">
        <v>103</v>
      </c>
      <c r="BL56" t="s">
        <v>403</v>
      </c>
      <c r="BM56" t="s">
        <v>923</v>
      </c>
      <c r="BN56" t="s">
        <v>74</v>
      </c>
      <c r="BO56" t="s">
        <v>74</v>
      </c>
      <c r="BP56" t="s">
        <v>74</v>
      </c>
      <c r="BQ56" t="s">
        <v>74</v>
      </c>
      <c r="BR56" t="s">
        <v>107</v>
      </c>
      <c r="BS56" t="s">
        <v>924</v>
      </c>
      <c r="BT56" t="str">
        <f>HYPERLINK("https%3A%2F%2Fwww.webofscience.com%2Fwos%2Fwoscc%2Ffull-record%2FWOS:000177013600005","View Full Record in Web of Science")</f>
        <v>View Full Record in Web of Science</v>
      </c>
    </row>
    <row r="57" spans="1:72" x14ac:dyDescent="0.15">
      <c r="A57" t="s">
        <v>72</v>
      </c>
      <c r="B57" t="s">
        <v>925</v>
      </c>
      <c r="C57" t="s">
        <v>74</v>
      </c>
      <c r="D57" t="s">
        <v>74</v>
      </c>
      <c r="E57" t="s">
        <v>74</v>
      </c>
      <c r="F57" t="s">
        <v>925</v>
      </c>
      <c r="G57" t="s">
        <v>74</v>
      </c>
      <c r="H57" t="s">
        <v>74</v>
      </c>
      <c r="I57" t="s">
        <v>926</v>
      </c>
      <c r="J57" t="s">
        <v>927</v>
      </c>
      <c r="K57" t="s">
        <v>74</v>
      </c>
      <c r="L57" t="s">
        <v>74</v>
      </c>
      <c r="M57" t="s">
        <v>77</v>
      </c>
      <c r="N57" t="s">
        <v>153</v>
      </c>
      <c r="O57" t="s">
        <v>74</v>
      </c>
      <c r="P57" t="s">
        <v>74</v>
      </c>
      <c r="Q57" t="s">
        <v>74</v>
      </c>
      <c r="R57" t="s">
        <v>74</v>
      </c>
      <c r="S57" t="s">
        <v>74</v>
      </c>
      <c r="T57" t="s">
        <v>74</v>
      </c>
      <c r="U57" t="s">
        <v>928</v>
      </c>
      <c r="V57" t="s">
        <v>929</v>
      </c>
      <c r="W57" t="s">
        <v>930</v>
      </c>
      <c r="X57" t="s">
        <v>931</v>
      </c>
      <c r="Y57" t="s">
        <v>932</v>
      </c>
      <c r="Z57" t="s">
        <v>74</v>
      </c>
      <c r="AA57" t="s">
        <v>74</v>
      </c>
      <c r="AB57" t="s">
        <v>74</v>
      </c>
      <c r="AC57" t="s">
        <v>74</v>
      </c>
      <c r="AD57" t="s">
        <v>74</v>
      </c>
      <c r="AE57" t="s">
        <v>74</v>
      </c>
      <c r="AF57" t="s">
        <v>74</v>
      </c>
      <c r="AG57">
        <v>67</v>
      </c>
      <c r="AH57">
        <v>26</v>
      </c>
      <c r="AI57">
        <v>32</v>
      </c>
      <c r="AJ57">
        <v>0</v>
      </c>
      <c r="AK57">
        <v>16</v>
      </c>
      <c r="AL57" t="s">
        <v>933</v>
      </c>
      <c r="AM57" t="s">
        <v>934</v>
      </c>
      <c r="AN57" t="s">
        <v>935</v>
      </c>
      <c r="AO57" t="s">
        <v>936</v>
      </c>
      <c r="AP57" t="s">
        <v>74</v>
      </c>
      <c r="AQ57" t="s">
        <v>74</v>
      </c>
      <c r="AR57" t="s">
        <v>937</v>
      </c>
      <c r="AS57" t="s">
        <v>938</v>
      </c>
      <c r="AT57" t="s">
        <v>718</v>
      </c>
      <c r="AU57">
        <v>2002</v>
      </c>
      <c r="AV57">
        <v>82</v>
      </c>
      <c r="AW57">
        <v>6</v>
      </c>
      <c r="AX57" t="s">
        <v>74</v>
      </c>
      <c r="AY57" t="s">
        <v>74</v>
      </c>
      <c r="AZ57" t="s">
        <v>74</v>
      </c>
      <c r="BA57" t="s">
        <v>74</v>
      </c>
      <c r="BB57">
        <v>2892</v>
      </c>
      <c r="BC57">
        <v>2905</v>
      </c>
      <c r="BD57" t="s">
        <v>74</v>
      </c>
      <c r="BE57" t="s">
        <v>939</v>
      </c>
      <c r="BF57" t="str">
        <f>HYPERLINK("http://dx.doi.org/10.1016/S0006-3495(02)75630-0","http://dx.doi.org/10.1016/S0006-3495(02)75630-0")</f>
        <v>http://dx.doi.org/10.1016/S0006-3495(02)75630-0</v>
      </c>
      <c r="BG57" t="s">
        <v>74</v>
      </c>
      <c r="BH57" t="s">
        <v>74</v>
      </c>
      <c r="BI57">
        <v>14</v>
      </c>
      <c r="BJ57" t="s">
        <v>940</v>
      </c>
      <c r="BK57" t="s">
        <v>170</v>
      </c>
      <c r="BL57" t="s">
        <v>940</v>
      </c>
      <c r="BM57" t="s">
        <v>941</v>
      </c>
      <c r="BN57">
        <v>12023212</v>
      </c>
      <c r="BO57" t="s">
        <v>942</v>
      </c>
      <c r="BP57" t="s">
        <v>74</v>
      </c>
      <c r="BQ57" t="s">
        <v>74</v>
      </c>
      <c r="BR57" t="s">
        <v>107</v>
      </c>
      <c r="BS57" t="s">
        <v>943</v>
      </c>
      <c r="BT57" t="str">
        <f>HYPERLINK("https%3A%2F%2Fwww.webofscience.com%2Fwos%2Fwoscc%2Ffull-record%2FWOS:000175802700006","View Full Record in Web of Science")</f>
        <v>View Full Record in Web of Science</v>
      </c>
    </row>
    <row r="58" spans="1:72" x14ac:dyDescent="0.15">
      <c r="A58" t="s">
        <v>72</v>
      </c>
      <c r="B58" t="s">
        <v>944</v>
      </c>
      <c r="C58" t="s">
        <v>74</v>
      </c>
      <c r="D58" t="s">
        <v>74</v>
      </c>
      <c r="E58" t="s">
        <v>74</v>
      </c>
      <c r="F58" t="s">
        <v>944</v>
      </c>
      <c r="G58" t="s">
        <v>74</v>
      </c>
      <c r="H58" t="s">
        <v>74</v>
      </c>
      <c r="I58" t="s">
        <v>945</v>
      </c>
      <c r="J58" t="s">
        <v>946</v>
      </c>
      <c r="K58" t="s">
        <v>74</v>
      </c>
      <c r="L58" t="s">
        <v>74</v>
      </c>
      <c r="M58" t="s">
        <v>77</v>
      </c>
      <c r="N58" t="s">
        <v>947</v>
      </c>
      <c r="O58" t="s">
        <v>74</v>
      </c>
      <c r="P58" t="s">
        <v>74</v>
      </c>
      <c r="Q58" t="s">
        <v>74</v>
      </c>
      <c r="R58" t="s">
        <v>74</v>
      </c>
      <c r="S58" t="s">
        <v>74</v>
      </c>
      <c r="T58" t="s">
        <v>74</v>
      </c>
      <c r="U58" t="s">
        <v>948</v>
      </c>
      <c r="V58" t="s">
        <v>949</v>
      </c>
      <c r="W58" t="s">
        <v>950</v>
      </c>
      <c r="X58" t="s">
        <v>951</v>
      </c>
      <c r="Y58" t="s">
        <v>952</v>
      </c>
      <c r="Z58" t="s">
        <v>74</v>
      </c>
      <c r="AA58" t="s">
        <v>74</v>
      </c>
      <c r="AB58" t="s">
        <v>74</v>
      </c>
      <c r="AC58" t="s">
        <v>74</v>
      </c>
      <c r="AD58" t="s">
        <v>74</v>
      </c>
      <c r="AE58" t="s">
        <v>74</v>
      </c>
      <c r="AF58" t="s">
        <v>74</v>
      </c>
      <c r="AG58">
        <v>212</v>
      </c>
      <c r="AH58">
        <v>6</v>
      </c>
      <c r="AI58">
        <v>6</v>
      </c>
      <c r="AJ58">
        <v>1</v>
      </c>
      <c r="AK58">
        <v>41</v>
      </c>
      <c r="AL58" t="s">
        <v>953</v>
      </c>
      <c r="AM58" t="s">
        <v>954</v>
      </c>
      <c r="AN58" t="s">
        <v>955</v>
      </c>
      <c r="AO58" t="s">
        <v>956</v>
      </c>
      <c r="AP58" t="s">
        <v>74</v>
      </c>
      <c r="AQ58" t="s">
        <v>74</v>
      </c>
      <c r="AR58" t="s">
        <v>957</v>
      </c>
      <c r="AS58" t="s">
        <v>958</v>
      </c>
      <c r="AT58" t="s">
        <v>718</v>
      </c>
      <c r="AU58">
        <v>2002</v>
      </c>
      <c r="AV58">
        <v>50</v>
      </c>
      <c r="AW58">
        <v>2</v>
      </c>
      <c r="AX58" t="s">
        <v>74</v>
      </c>
      <c r="AY58" t="s">
        <v>74</v>
      </c>
      <c r="AZ58" t="s">
        <v>74</v>
      </c>
      <c r="BA58" t="s">
        <v>74</v>
      </c>
      <c r="BB58">
        <v>297</v>
      </c>
      <c r="BC58">
        <v>327</v>
      </c>
      <c r="BD58" t="s">
        <v>74</v>
      </c>
      <c r="BE58" t="s">
        <v>959</v>
      </c>
      <c r="BF58" t="str">
        <f>HYPERLINK("http://dx.doi.org/10.2113/50.2.297","http://dx.doi.org/10.2113/50.2.297")</f>
        <v>http://dx.doi.org/10.2113/50.2.297</v>
      </c>
      <c r="BG58" t="s">
        <v>74</v>
      </c>
      <c r="BH58" t="s">
        <v>74</v>
      </c>
      <c r="BI58">
        <v>31</v>
      </c>
      <c r="BJ58" t="s">
        <v>960</v>
      </c>
      <c r="BK58" t="s">
        <v>170</v>
      </c>
      <c r="BL58" t="s">
        <v>961</v>
      </c>
      <c r="BM58" t="s">
        <v>962</v>
      </c>
      <c r="BN58" t="s">
        <v>74</v>
      </c>
      <c r="BO58" t="s">
        <v>74</v>
      </c>
      <c r="BP58" t="s">
        <v>74</v>
      </c>
      <c r="BQ58" t="s">
        <v>74</v>
      </c>
      <c r="BR58" t="s">
        <v>107</v>
      </c>
      <c r="BS58" t="s">
        <v>963</v>
      </c>
      <c r="BT58" t="str">
        <f>HYPERLINK("https%3A%2F%2Fwww.webofscience.com%2Fwos%2Fwoscc%2Ffull-record%2FWOS:000179690900005","View Full Record in Web of Science")</f>
        <v>View Full Record in Web of Science</v>
      </c>
    </row>
    <row r="59" spans="1:72" x14ac:dyDescent="0.15">
      <c r="A59" t="s">
        <v>72</v>
      </c>
      <c r="B59" t="s">
        <v>964</v>
      </c>
      <c r="C59" t="s">
        <v>74</v>
      </c>
      <c r="D59" t="s">
        <v>74</v>
      </c>
      <c r="E59" t="s">
        <v>74</v>
      </c>
      <c r="F59" t="s">
        <v>964</v>
      </c>
      <c r="G59" t="s">
        <v>74</v>
      </c>
      <c r="H59" t="s">
        <v>74</v>
      </c>
      <c r="I59" t="s">
        <v>965</v>
      </c>
      <c r="J59" t="s">
        <v>966</v>
      </c>
      <c r="K59" t="s">
        <v>74</v>
      </c>
      <c r="L59" t="s">
        <v>74</v>
      </c>
      <c r="M59" t="s">
        <v>77</v>
      </c>
      <c r="N59" t="s">
        <v>153</v>
      </c>
      <c r="O59" t="s">
        <v>74</v>
      </c>
      <c r="P59" t="s">
        <v>74</v>
      </c>
      <c r="Q59" t="s">
        <v>74</v>
      </c>
      <c r="R59" t="s">
        <v>74</v>
      </c>
      <c r="S59" t="s">
        <v>74</v>
      </c>
      <c r="T59" t="s">
        <v>74</v>
      </c>
      <c r="U59" t="s">
        <v>967</v>
      </c>
      <c r="V59" t="s">
        <v>968</v>
      </c>
      <c r="W59" t="s">
        <v>969</v>
      </c>
      <c r="X59" t="s">
        <v>970</v>
      </c>
      <c r="Y59" t="s">
        <v>74</v>
      </c>
      <c r="Z59" t="s">
        <v>971</v>
      </c>
      <c r="AA59" t="s">
        <v>972</v>
      </c>
      <c r="AB59" t="s">
        <v>973</v>
      </c>
      <c r="AC59" t="s">
        <v>74</v>
      </c>
      <c r="AD59" t="s">
        <v>74</v>
      </c>
      <c r="AE59" t="s">
        <v>74</v>
      </c>
      <c r="AF59" t="s">
        <v>74</v>
      </c>
      <c r="AG59">
        <v>51</v>
      </c>
      <c r="AH59">
        <v>337</v>
      </c>
      <c r="AI59">
        <v>383</v>
      </c>
      <c r="AJ59">
        <v>3</v>
      </c>
      <c r="AK59">
        <v>35</v>
      </c>
      <c r="AL59" t="s">
        <v>974</v>
      </c>
      <c r="AM59" t="s">
        <v>975</v>
      </c>
      <c r="AN59" t="s">
        <v>976</v>
      </c>
      <c r="AO59" t="s">
        <v>977</v>
      </c>
      <c r="AP59" t="s">
        <v>978</v>
      </c>
      <c r="AQ59" t="s">
        <v>74</v>
      </c>
      <c r="AR59" t="s">
        <v>979</v>
      </c>
      <c r="AS59" t="s">
        <v>980</v>
      </c>
      <c r="AT59" t="s">
        <v>718</v>
      </c>
      <c r="AU59">
        <v>2002</v>
      </c>
      <c r="AV59">
        <v>28</v>
      </c>
      <c r="AW59">
        <v>3</v>
      </c>
      <c r="AX59" t="s">
        <v>74</v>
      </c>
      <c r="AY59" t="s">
        <v>74</v>
      </c>
      <c r="AZ59" t="s">
        <v>74</v>
      </c>
      <c r="BA59" t="s">
        <v>74</v>
      </c>
      <c r="BB59">
        <v>404</v>
      </c>
      <c r="BC59">
        <v>412</v>
      </c>
      <c r="BD59" t="s">
        <v>74</v>
      </c>
      <c r="BE59" t="s">
        <v>981</v>
      </c>
      <c r="BF59" t="str">
        <f>HYPERLINK("http://dx.doi.org/10.5589/m02-035","http://dx.doi.org/10.5589/m02-035")</f>
        <v>http://dx.doi.org/10.5589/m02-035</v>
      </c>
      <c r="BG59" t="s">
        <v>74</v>
      </c>
      <c r="BH59" t="s">
        <v>74</v>
      </c>
      <c r="BI59">
        <v>9</v>
      </c>
      <c r="BJ59" t="s">
        <v>982</v>
      </c>
      <c r="BK59" t="s">
        <v>170</v>
      </c>
      <c r="BL59" t="s">
        <v>982</v>
      </c>
      <c r="BM59" t="s">
        <v>983</v>
      </c>
      <c r="BN59" t="s">
        <v>74</v>
      </c>
      <c r="BO59" t="s">
        <v>74</v>
      </c>
      <c r="BP59" t="s">
        <v>74</v>
      </c>
      <c r="BQ59" t="s">
        <v>74</v>
      </c>
      <c r="BR59" t="s">
        <v>107</v>
      </c>
      <c r="BS59" t="s">
        <v>984</v>
      </c>
      <c r="BT59" t="str">
        <f>HYPERLINK("https%3A%2F%2Fwww.webofscience.com%2Fwos%2Fwoscc%2Ffull-record%2FWOS:000176839900009","View Full Record in Web of Science")</f>
        <v>View Full Record in Web of Science</v>
      </c>
    </row>
    <row r="60" spans="1:72" x14ac:dyDescent="0.15">
      <c r="A60" t="s">
        <v>72</v>
      </c>
      <c r="B60" t="s">
        <v>985</v>
      </c>
      <c r="C60" t="s">
        <v>74</v>
      </c>
      <c r="D60" t="s">
        <v>74</v>
      </c>
      <c r="E60" t="s">
        <v>74</v>
      </c>
      <c r="F60" t="s">
        <v>985</v>
      </c>
      <c r="G60" t="s">
        <v>74</v>
      </c>
      <c r="H60" t="s">
        <v>74</v>
      </c>
      <c r="I60" t="s">
        <v>986</v>
      </c>
      <c r="J60" t="s">
        <v>987</v>
      </c>
      <c r="K60" t="s">
        <v>74</v>
      </c>
      <c r="L60" t="s">
        <v>74</v>
      </c>
      <c r="M60" t="s">
        <v>77</v>
      </c>
      <c r="N60" t="s">
        <v>153</v>
      </c>
      <c r="O60" t="s">
        <v>74</v>
      </c>
      <c r="P60" t="s">
        <v>74</v>
      </c>
      <c r="Q60" t="s">
        <v>74</v>
      </c>
      <c r="R60" t="s">
        <v>74</v>
      </c>
      <c r="S60" t="s">
        <v>74</v>
      </c>
      <c r="T60" t="s">
        <v>74</v>
      </c>
      <c r="U60" t="s">
        <v>988</v>
      </c>
      <c r="V60" t="s">
        <v>989</v>
      </c>
      <c r="W60" t="s">
        <v>990</v>
      </c>
      <c r="X60" t="s">
        <v>74</v>
      </c>
      <c r="Y60" t="s">
        <v>991</v>
      </c>
      <c r="Z60" t="s">
        <v>74</v>
      </c>
      <c r="AA60" t="s">
        <v>992</v>
      </c>
      <c r="AB60" t="s">
        <v>993</v>
      </c>
      <c r="AC60" t="s">
        <v>74</v>
      </c>
      <c r="AD60" t="s">
        <v>74</v>
      </c>
      <c r="AE60" t="s">
        <v>74</v>
      </c>
      <c r="AF60" t="s">
        <v>74</v>
      </c>
      <c r="AG60">
        <v>28</v>
      </c>
      <c r="AH60">
        <v>13</v>
      </c>
      <c r="AI60">
        <v>14</v>
      </c>
      <c r="AJ60">
        <v>0</v>
      </c>
      <c r="AK60">
        <v>10</v>
      </c>
      <c r="AL60" t="s">
        <v>994</v>
      </c>
      <c r="AM60" t="s">
        <v>995</v>
      </c>
      <c r="AN60" t="s">
        <v>996</v>
      </c>
      <c r="AO60" t="s">
        <v>997</v>
      </c>
      <c r="AP60" t="s">
        <v>74</v>
      </c>
      <c r="AQ60" t="s">
        <v>74</v>
      </c>
      <c r="AR60" t="s">
        <v>998</v>
      </c>
      <c r="AS60" t="s">
        <v>999</v>
      </c>
      <c r="AT60" t="s">
        <v>718</v>
      </c>
      <c r="AU60">
        <v>2002</v>
      </c>
      <c r="AV60">
        <v>80</v>
      </c>
      <c r="AW60">
        <v>6</v>
      </c>
      <c r="AX60" t="s">
        <v>74</v>
      </c>
      <c r="AY60" t="s">
        <v>74</v>
      </c>
      <c r="AZ60" t="s">
        <v>74</v>
      </c>
      <c r="BA60" t="s">
        <v>74</v>
      </c>
      <c r="BB60">
        <v>1084</v>
      </c>
      <c r="BC60">
        <v>1099</v>
      </c>
      <c r="BD60" t="s">
        <v>74</v>
      </c>
      <c r="BE60" t="s">
        <v>1000</v>
      </c>
      <c r="BF60" t="str">
        <f>HYPERLINK("http://dx.doi.org/10.1139/Z02-085","http://dx.doi.org/10.1139/Z02-085")</f>
        <v>http://dx.doi.org/10.1139/Z02-085</v>
      </c>
      <c r="BG60" t="s">
        <v>74</v>
      </c>
      <c r="BH60" t="s">
        <v>74</v>
      </c>
      <c r="BI60">
        <v>16</v>
      </c>
      <c r="BJ60" t="s">
        <v>1001</v>
      </c>
      <c r="BK60" t="s">
        <v>170</v>
      </c>
      <c r="BL60" t="s">
        <v>1001</v>
      </c>
      <c r="BM60" t="s">
        <v>1002</v>
      </c>
      <c r="BN60" t="s">
        <v>74</v>
      </c>
      <c r="BO60" t="s">
        <v>74</v>
      </c>
      <c r="BP60" t="s">
        <v>74</v>
      </c>
      <c r="BQ60" t="s">
        <v>74</v>
      </c>
      <c r="BR60" t="s">
        <v>107</v>
      </c>
      <c r="BS60" t="s">
        <v>1003</v>
      </c>
      <c r="BT60" t="str">
        <f>HYPERLINK("https%3A%2F%2Fwww.webofscience.com%2Fwos%2Fwoscc%2Ffull-record%2FWOS:000177215900015","View Full Record in Web of Science")</f>
        <v>View Full Record in Web of Science</v>
      </c>
    </row>
    <row r="61" spans="1:72" x14ac:dyDescent="0.15">
      <c r="A61" t="s">
        <v>72</v>
      </c>
      <c r="B61" t="s">
        <v>1004</v>
      </c>
      <c r="C61" t="s">
        <v>74</v>
      </c>
      <c r="D61" t="s">
        <v>74</v>
      </c>
      <c r="E61" t="s">
        <v>74</v>
      </c>
      <c r="F61" t="s">
        <v>1004</v>
      </c>
      <c r="G61" t="s">
        <v>74</v>
      </c>
      <c r="H61" t="s">
        <v>74</v>
      </c>
      <c r="I61" t="s">
        <v>1005</v>
      </c>
      <c r="J61" t="s">
        <v>1006</v>
      </c>
      <c r="K61" t="s">
        <v>74</v>
      </c>
      <c r="L61" t="s">
        <v>74</v>
      </c>
      <c r="M61" t="s">
        <v>77</v>
      </c>
      <c r="N61" t="s">
        <v>153</v>
      </c>
      <c r="O61" t="s">
        <v>74</v>
      </c>
      <c r="P61" t="s">
        <v>74</v>
      </c>
      <c r="Q61" t="s">
        <v>74</v>
      </c>
      <c r="R61" t="s">
        <v>74</v>
      </c>
      <c r="S61" t="s">
        <v>74</v>
      </c>
      <c r="T61" t="s">
        <v>1007</v>
      </c>
      <c r="U61" t="s">
        <v>1008</v>
      </c>
      <c r="V61" t="s">
        <v>1009</v>
      </c>
      <c r="W61" t="s">
        <v>1010</v>
      </c>
      <c r="X61" t="s">
        <v>1011</v>
      </c>
      <c r="Y61" t="s">
        <v>1012</v>
      </c>
      <c r="Z61" t="s">
        <v>74</v>
      </c>
      <c r="AA61" t="s">
        <v>74</v>
      </c>
      <c r="AB61" t="s">
        <v>74</v>
      </c>
      <c r="AC61" t="s">
        <v>74</v>
      </c>
      <c r="AD61" t="s">
        <v>74</v>
      </c>
      <c r="AE61" t="s">
        <v>74</v>
      </c>
      <c r="AF61" t="s">
        <v>74</v>
      </c>
      <c r="AG61">
        <v>31</v>
      </c>
      <c r="AH61">
        <v>66</v>
      </c>
      <c r="AI61">
        <v>86</v>
      </c>
      <c r="AJ61">
        <v>5</v>
      </c>
      <c r="AK61">
        <v>40</v>
      </c>
      <c r="AL61" t="s">
        <v>1013</v>
      </c>
      <c r="AM61" t="s">
        <v>895</v>
      </c>
      <c r="AN61" t="s">
        <v>1014</v>
      </c>
      <c r="AO61" t="s">
        <v>1015</v>
      </c>
      <c r="AP61" t="s">
        <v>74</v>
      </c>
      <c r="AQ61" t="s">
        <v>74</v>
      </c>
      <c r="AR61" t="s">
        <v>1006</v>
      </c>
      <c r="AS61" t="s">
        <v>1016</v>
      </c>
      <c r="AT61" t="s">
        <v>718</v>
      </c>
      <c r="AU61">
        <v>2002</v>
      </c>
      <c r="AV61">
        <v>47</v>
      </c>
      <c r="AW61">
        <v>8</v>
      </c>
      <c r="AX61" t="s">
        <v>74</v>
      </c>
      <c r="AY61" t="s">
        <v>74</v>
      </c>
      <c r="AZ61" t="s">
        <v>74</v>
      </c>
      <c r="BA61" t="s">
        <v>74</v>
      </c>
      <c r="BB61">
        <v>807</v>
      </c>
      <c r="BC61">
        <v>821</v>
      </c>
      <c r="BD61" t="s">
        <v>1017</v>
      </c>
      <c r="BE61" t="s">
        <v>1018</v>
      </c>
      <c r="BF61" t="str">
        <f>HYPERLINK("http://dx.doi.org/10.1016/S0045-6535(01)00297-1","http://dx.doi.org/10.1016/S0045-6535(01)00297-1")</f>
        <v>http://dx.doi.org/10.1016/S0045-6535(01)00297-1</v>
      </c>
      <c r="BG61" t="s">
        <v>74</v>
      </c>
      <c r="BH61" t="s">
        <v>74</v>
      </c>
      <c r="BI61">
        <v>15</v>
      </c>
      <c r="BJ61" t="s">
        <v>1019</v>
      </c>
      <c r="BK61" t="s">
        <v>170</v>
      </c>
      <c r="BL61" t="s">
        <v>1020</v>
      </c>
      <c r="BM61" t="s">
        <v>1021</v>
      </c>
      <c r="BN61">
        <v>12079076</v>
      </c>
      <c r="BO61" t="s">
        <v>74</v>
      </c>
      <c r="BP61" t="s">
        <v>74</v>
      </c>
      <c r="BQ61" t="s">
        <v>74</v>
      </c>
      <c r="BR61" t="s">
        <v>107</v>
      </c>
      <c r="BS61" t="s">
        <v>1022</v>
      </c>
      <c r="BT61" t="str">
        <f>HYPERLINK("https%3A%2F%2Fwww.webofscience.com%2Fwos%2Fwoscc%2Ffull-record%2FWOS:000176086700002","View Full Record in Web of Science")</f>
        <v>View Full Record in Web of Science</v>
      </c>
    </row>
    <row r="62" spans="1:72" x14ac:dyDescent="0.15">
      <c r="A62" t="s">
        <v>72</v>
      </c>
      <c r="B62" t="s">
        <v>1023</v>
      </c>
      <c r="C62" t="s">
        <v>74</v>
      </c>
      <c r="D62" t="s">
        <v>74</v>
      </c>
      <c r="E62" t="s">
        <v>74</v>
      </c>
      <c r="F62" t="s">
        <v>1023</v>
      </c>
      <c r="G62" t="s">
        <v>74</v>
      </c>
      <c r="H62" t="s">
        <v>74</v>
      </c>
      <c r="I62" t="s">
        <v>1024</v>
      </c>
      <c r="J62" t="s">
        <v>1025</v>
      </c>
      <c r="K62" t="s">
        <v>74</v>
      </c>
      <c r="L62" t="s">
        <v>74</v>
      </c>
      <c r="M62" t="s">
        <v>77</v>
      </c>
      <c r="N62" t="s">
        <v>153</v>
      </c>
      <c r="O62" t="s">
        <v>74</v>
      </c>
      <c r="P62" t="s">
        <v>74</v>
      </c>
      <c r="Q62" t="s">
        <v>74</v>
      </c>
      <c r="R62" t="s">
        <v>74</v>
      </c>
      <c r="S62" t="s">
        <v>74</v>
      </c>
      <c r="T62" t="s">
        <v>74</v>
      </c>
      <c r="U62" t="s">
        <v>1026</v>
      </c>
      <c r="V62" t="s">
        <v>1027</v>
      </c>
      <c r="W62" t="s">
        <v>1028</v>
      </c>
      <c r="X62" t="s">
        <v>1029</v>
      </c>
      <c r="Y62" t="s">
        <v>1030</v>
      </c>
      <c r="Z62" t="s">
        <v>74</v>
      </c>
      <c r="AA62" t="s">
        <v>1031</v>
      </c>
      <c r="AB62" t="s">
        <v>1032</v>
      </c>
      <c r="AC62" t="s">
        <v>74</v>
      </c>
      <c r="AD62" t="s">
        <v>74</v>
      </c>
      <c r="AE62" t="s">
        <v>74</v>
      </c>
      <c r="AF62" t="s">
        <v>74</v>
      </c>
      <c r="AG62">
        <v>35</v>
      </c>
      <c r="AH62">
        <v>13</v>
      </c>
      <c r="AI62">
        <v>14</v>
      </c>
      <c r="AJ62">
        <v>0</v>
      </c>
      <c r="AK62">
        <v>5</v>
      </c>
      <c r="AL62" t="s">
        <v>290</v>
      </c>
      <c r="AM62" t="s">
        <v>195</v>
      </c>
      <c r="AN62" t="s">
        <v>291</v>
      </c>
      <c r="AO62" t="s">
        <v>1033</v>
      </c>
      <c r="AP62" t="s">
        <v>74</v>
      </c>
      <c r="AQ62" t="s">
        <v>74</v>
      </c>
      <c r="AR62" t="s">
        <v>1034</v>
      </c>
      <c r="AS62" t="s">
        <v>1035</v>
      </c>
      <c r="AT62" t="s">
        <v>718</v>
      </c>
      <c r="AU62">
        <v>2002</v>
      </c>
      <c r="AV62">
        <v>19</v>
      </c>
      <c r="AW62">
        <v>2</v>
      </c>
      <c r="AX62" t="s">
        <v>74</v>
      </c>
      <c r="AY62" t="s">
        <v>74</v>
      </c>
      <c r="AZ62" t="s">
        <v>74</v>
      </c>
      <c r="BA62" t="s">
        <v>74</v>
      </c>
      <c r="BB62">
        <v>181</v>
      </c>
      <c r="BC62">
        <v>190</v>
      </c>
      <c r="BD62" t="s">
        <v>74</v>
      </c>
      <c r="BE62" t="s">
        <v>1036</v>
      </c>
      <c r="BF62" t="str">
        <f>HYPERLINK("http://dx.doi.org/10.1007/s00382-001-0216-6","http://dx.doi.org/10.1007/s00382-001-0216-6")</f>
        <v>http://dx.doi.org/10.1007/s00382-001-0216-6</v>
      </c>
      <c r="BG62" t="s">
        <v>74</v>
      </c>
      <c r="BH62" t="s">
        <v>74</v>
      </c>
      <c r="BI62">
        <v>10</v>
      </c>
      <c r="BJ62" t="s">
        <v>403</v>
      </c>
      <c r="BK62" t="s">
        <v>170</v>
      </c>
      <c r="BL62" t="s">
        <v>403</v>
      </c>
      <c r="BM62" t="s">
        <v>1037</v>
      </c>
      <c r="BN62" t="s">
        <v>74</v>
      </c>
      <c r="BO62" t="s">
        <v>74</v>
      </c>
      <c r="BP62" t="s">
        <v>74</v>
      </c>
      <c r="BQ62" t="s">
        <v>74</v>
      </c>
      <c r="BR62" t="s">
        <v>107</v>
      </c>
      <c r="BS62" t="s">
        <v>1038</v>
      </c>
      <c r="BT62" t="str">
        <f>HYPERLINK("https%3A%2F%2Fwww.webofscience.com%2Fwos%2Fwoscc%2Ffull-record%2FWOS:000176930500006","View Full Record in Web of Science")</f>
        <v>View Full Record in Web of Science</v>
      </c>
    </row>
    <row r="63" spans="1:72" x14ac:dyDescent="0.15">
      <c r="A63" t="s">
        <v>72</v>
      </c>
      <c r="B63" t="s">
        <v>1039</v>
      </c>
      <c r="C63" t="s">
        <v>74</v>
      </c>
      <c r="D63" t="s">
        <v>74</v>
      </c>
      <c r="E63" t="s">
        <v>74</v>
      </c>
      <c r="F63" t="s">
        <v>1039</v>
      </c>
      <c r="G63" t="s">
        <v>74</v>
      </c>
      <c r="H63" t="s">
        <v>74</v>
      </c>
      <c r="I63" t="s">
        <v>1040</v>
      </c>
      <c r="J63" t="s">
        <v>1041</v>
      </c>
      <c r="K63" t="s">
        <v>74</v>
      </c>
      <c r="L63" t="s">
        <v>74</v>
      </c>
      <c r="M63" t="s">
        <v>77</v>
      </c>
      <c r="N63" t="s">
        <v>52</v>
      </c>
      <c r="O63" t="s">
        <v>74</v>
      </c>
      <c r="P63" t="s">
        <v>74</v>
      </c>
      <c r="Q63" t="s">
        <v>74</v>
      </c>
      <c r="R63" t="s">
        <v>74</v>
      </c>
      <c r="S63" t="s">
        <v>74</v>
      </c>
      <c r="T63" t="s">
        <v>74</v>
      </c>
      <c r="U63" t="s">
        <v>74</v>
      </c>
      <c r="V63" t="s">
        <v>74</v>
      </c>
      <c r="W63" t="s">
        <v>1042</v>
      </c>
      <c r="X63" t="s">
        <v>1043</v>
      </c>
      <c r="Y63" t="s">
        <v>74</v>
      </c>
      <c r="Z63" t="s">
        <v>74</v>
      </c>
      <c r="AA63" t="s">
        <v>74</v>
      </c>
      <c r="AB63" t="s">
        <v>74</v>
      </c>
      <c r="AC63" t="s">
        <v>74</v>
      </c>
      <c r="AD63" t="s">
        <v>74</v>
      </c>
      <c r="AE63" t="s">
        <v>74</v>
      </c>
      <c r="AF63" t="s">
        <v>74</v>
      </c>
      <c r="AG63">
        <v>0</v>
      </c>
      <c r="AH63">
        <v>1</v>
      </c>
      <c r="AI63">
        <v>1</v>
      </c>
      <c r="AJ63">
        <v>0</v>
      </c>
      <c r="AK63">
        <v>0</v>
      </c>
      <c r="AL63" t="s">
        <v>1044</v>
      </c>
      <c r="AM63" t="s">
        <v>1045</v>
      </c>
      <c r="AN63" t="s">
        <v>1046</v>
      </c>
      <c r="AO63" t="s">
        <v>1047</v>
      </c>
      <c r="AP63" t="s">
        <v>1048</v>
      </c>
      <c r="AQ63" t="s">
        <v>74</v>
      </c>
      <c r="AR63" t="s">
        <v>1049</v>
      </c>
      <c r="AS63" t="s">
        <v>1050</v>
      </c>
      <c r="AT63" t="s">
        <v>718</v>
      </c>
      <c r="AU63">
        <v>2002</v>
      </c>
      <c r="AV63">
        <v>103</v>
      </c>
      <c r="AW63">
        <v>3</v>
      </c>
      <c r="AX63">
        <v>2</v>
      </c>
      <c r="AY63" t="s">
        <v>1051</v>
      </c>
      <c r="AZ63" t="s">
        <v>74</v>
      </c>
      <c r="BA63">
        <v>9</v>
      </c>
      <c r="BB63" t="s">
        <v>1052</v>
      </c>
      <c r="BC63" t="s">
        <v>1053</v>
      </c>
      <c r="BD63" t="s">
        <v>74</v>
      </c>
      <c r="BE63" t="s">
        <v>74</v>
      </c>
      <c r="BF63" t="s">
        <v>74</v>
      </c>
      <c r="BG63" t="s">
        <v>74</v>
      </c>
      <c r="BH63" t="s">
        <v>74</v>
      </c>
      <c r="BI63">
        <v>2</v>
      </c>
      <c r="BJ63" t="s">
        <v>1054</v>
      </c>
      <c r="BK63" t="s">
        <v>170</v>
      </c>
      <c r="BL63" t="s">
        <v>1054</v>
      </c>
      <c r="BM63" t="s">
        <v>1055</v>
      </c>
      <c r="BN63" t="s">
        <v>74</v>
      </c>
      <c r="BO63" t="s">
        <v>74</v>
      </c>
      <c r="BP63" t="s">
        <v>74</v>
      </c>
      <c r="BQ63" t="s">
        <v>74</v>
      </c>
      <c r="BR63" t="s">
        <v>107</v>
      </c>
      <c r="BS63" t="s">
        <v>1056</v>
      </c>
      <c r="BT63" t="str">
        <f>HYPERLINK("https%3A%2F%2Fwww.webofscience.com%2Fwos%2Fwoscc%2Ffull-record%2FWOS:000176439600010","View Full Record in Web of Science")</f>
        <v>View Full Record in Web of Science</v>
      </c>
    </row>
    <row r="64" spans="1:72" x14ac:dyDescent="0.15">
      <c r="A64" t="s">
        <v>72</v>
      </c>
      <c r="B64" t="s">
        <v>1057</v>
      </c>
      <c r="C64" t="s">
        <v>74</v>
      </c>
      <c r="D64" t="s">
        <v>74</v>
      </c>
      <c r="E64" t="s">
        <v>74</v>
      </c>
      <c r="F64" t="s">
        <v>1057</v>
      </c>
      <c r="G64" t="s">
        <v>74</v>
      </c>
      <c r="H64" t="s">
        <v>74</v>
      </c>
      <c r="I64" t="s">
        <v>1058</v>
      </c>
      <c r="J64" t="s">
        <v>1059</v>
      </c>
      <c r="K64" t="s">
        <v>74</v>
      </c>
      <c r="L64" t="s">
        <v>74</v>
      </c>
      <c r="M64" t="s">
        <v>77</v>
      </c>
      <c r="N64" t="s">
        <v>153</v>
      </c>
      <c r="O64" t="s">
        <v>74</v>
      </c>
      <c r="P64" t="s">
        <v>74</v>
      </c>
      <c r="Q64" t="s">
        <v>74</v>
      </c>
      <c r="R64" t="s">
        <v>74</v>
      </c>
      <c r="S64" t="s">
        <v>74</v>
      </c>
      <c r="T64" t="s">
        <v>1060</v>
      </c>
      <c r="U64" t="s">
        <v>1061</v>
      </c>
      <c r="V64" t="s">
        <v>1062</v>
      </c>
      <c r="W64" t="s">
        <v>1063</v>
      </c>
      <c r="X64" t="s">
        <v>1064</v>
      </c>
      <c r="Y64" t="s">
        <v>1065</v>
      </c>
      <c r="Z64" t="s">
        <v>74</v>
      </c>
      <c r="AA64" t="s">
        <v>1066</v>
      </c>
      <c r="AB64" t="s">
        <v>1067</v>
      </c>
      <c r="AC64" t="s">
        <v>74</v>
      </c>
      <c r="AD64" t="s">
        <v>74</v>
      </c>
      <c r="AE64" t="s">
        <v>74</v>
      </c>
      <c r="AF64" t="s">
        <v>74</v>
      </c>
      <c r="AG64">
        <v>30</v>
      </c>
      <c r="AH64">
        <v>15</v>
      </c>
      <c r="AI64">
        <v>16</v>
      </c>
      <c r="AJ64">
        <v>0</v>
      </c>
      <c r="AK64">
        <v>9</v>
      </c>
      <c r="AL64" t="s">
        <v>1068</v>
      </c>
      <c r="AM64" t="s">
        <v>195</v>
      </c>
      <c r="AN64" t="s">
        <v>1069</v>
      </c>
      <c r="AO64" t="s">
        <v>1070</v>
      </c>
      <c r="AP64" t="s">
        <v>74</v>
      </c>
      <c r="AQ64" t="s">
        <v>74</v>
      </c>
      <c r="AR64" t="s">
        <v>1071</v>
      </c>
      <c r="AS64" t="s">
        <v>1072</v>
      </c>
      <c r="AT64" t="s">
        <v>718</v>
      </c>
      <c r="AU64">
        <v>2002</v>
      </c>
      <c r="AV64">
        <v>132</v>
      </c>
      <c r="AW64">
        <v>2</v>
      </c>
      <c r="AX64" t="s">
        <v>74</v>
      </c>
      <c r="AY64" t="s">
        <v>74</v>
      </c>
      <c r="AZ64" t="s">
        <v>74</v>
      </c>
      <c r="BA64" t="s">
        <v>74</v>
      </c>
      <c r="BB64">
        <v>321</v>
      </c>
      <c r="BC64">
        <v>331</v>
      </c>
      <c r="BD64" t="s">
        <v>1073</v>
      </c>
      <c r="BE64" t="s">
        <v>1074</v>
      </c>
      <c r="BF64" t="str">
        <f>HYPERLINK("http://dx.doi.org/10.1016/S1095-6433(02)00030-2","http://dx.doi.org/10.1016/S1095-6433(02)00030-2")</f>
        <v>http://dx.doi.org/10.1016/S1095-6433(02)00030-2</v>
      </c>
      <c r="BG64" t="s">
        <v>74</v>
      </c>
      <c r="BH64" t="s">
        <v>74</v>
      </c>
      <c r="BI64">
        <v>11</v>
      </c>
      <c r="BJ64" t="s">
        <v>1075</v>
      </c>
      <c r="BK64" t="s">
        <v>170</v>
      </c>
      <c r="BL64" t="s">
        <v>1075</v>
      </c>
      <c r="BM64" t="s">
        <v>1076</v>
      </c>
      <c r="BN64">
        <v>12020648</v>
      </c>
      <c r="BO64" t="s">
        <v>74</v>
      </c>
      <c r="BP64" t="s">
        <v>74</v>
      </c>
      <c r="BQ64" t="s">
        <v>74</v>
      </c>
      <c r="BR64" t="s">
        <v>107</v>
      </c>
      <c r="BS64" t="s">
        <v>1077</v>
      </c>
      <c r="BT64" t="str">
        <f>HYPERLINK("https%3A%2F%2Fwww.webofscience.com%2Fwos%2Fwoscc%2Ffull-record%2FWOS:000176113300008","View Full Record in Web of Science")</f>
        <v>View Full Record in Web of Science</v>
      </c>
    </row>
    <row r="65" spans="1:72" x14ac:dyDescent="0.15">
      <c r="A65" t="s">
        <v>72</v>
      </c>
      <c r="B65" t="s">
        <v>1078</v>
      </c>
      <c r="C65" t="s">
        <v>74</v>
      </c>
      <c r="D65" t="s">
        <v>74</v>
      </c>
      <c r="E65" t="s">
        <v>74</v>
      </c>
      <c r="F65" t="s">
        <v>1078</v>
      </c>
      <c r="G65" t="s">
        <v>74</v>
      </c>
      <c r="H65" t="s">
        <v>74</v>
      </c>
      <c r="I65" t="s">
        <v>1079</v>
      </c>
      <c r="J65" t="s">
        <v>1080</v>
      </c>
      <c r="K65" t="s">
        <v>74</v>
      </c>
      <c r="L65" t="s">
        <v>74</v>
      </c>
      <c r="M65" t="s">
        <v>77</v>
      </c>
      <c r="N65" t="s">
        <v>153</v>
      </c>
      <c r="O65" t="s">
        <v>74</v>
      </c>
      <c r="P65" t="s">
        <v>74</v>
      </c>
      <c r="Q65" t="s">
        <v>74</v>
      </c>
      <c r="R65" t="s">
        <v>74</v>
      </c>
      <c r="S65" t="s">
        <v>74</v>
      </c>
      <c r="T65" t="s">
        <v>1081</v>
      </c>
      <c r="U65" t="s">
        <v>1082</v>
      </c>
      <c r="V65" t="s">
        <v>1083</v>
      </c>
      <c r="W65" t="s">
        <v>1084</v>
      </c>
      <c r="X65" t="s">
        <v>1085</v>
      </c>
      <c r="Y65" t="s">
        <v>1086</v>
      </c>
      <c r="Z65" t="s">
        <v>74</v>
      </c>
      <c r="AA65" t="s">
        <v>1087</v>
      </c>
      <c r="AB65" t="s">
        <v>1088</v>
      </c>
      <c r="AC65" t="s">
        <v>74</v>
      </c>
      <c r="AD65" t="s">
        <v>74</v>
      </c>
      <c r="AE65" t="s">
        <v>74</v>
      </c>
      <c r="AF65" t="s">
        <v>74</v>
      </c>
      <c r="AG65">
        <v>16</v>
      </c>
      <c r="AH65">
        <v>11</v>
      </c>
      <c r="AI65">
        <v>22</v>
      </c>
      <c r="AJ65">
        <v>2</v>
      </c>
      <c r="AK65">
        <v>16</v>
      </c>
      <c r="AL65" t="s">
        <v>1044</v>
      </c>
      <c r="AM65" t="s">
        <v>1045</v>
      </c>
      <c r="AN65" t="s">
        <v>1046</v>
      </c>
      <c r="AO65" t="s">
        <v>1089</v>
      </c>
      <c r="AP65" t="s">
        <v>74</v>
      </c>
      <c r="AQ65" t="s">
        <v>74</v>
      </c>
      <c r="AR65" t="s">
        <v>1080</v>
      </c>
      <c r="AS65" t="s">
        <v>1090</v>
      </c>
      <c r="AT65" t="s">
        <v>718</v>
      </c>
      <c r="AU65">
        <v>2002</v>
      </c>
      <c r="AV65">
        <v>44</v>
      </c>
      <c r="AW65">
        <v>3</v>
      </c>
      <c r="AX65" t="s">
        <v>74</v>
      </c>
      <c r="AY65" t="s">
        <v>74</v>
      </c>
      <c r="AZ65" t="s">
        <v>74</v>
      </c>
      <c r="BA65" t="s">
        <v>74</v>
      </c>
      <c r="BB65">
        <v>240</v>
      </c>
      <c r="BC65">
        <v>250</v>
      </c>
      <c r="BD65" t="s">
        <v>1091</v>
      </c>
      <c r="BE65" t="s">
        <v>1092</v>
      </c>
      <c r="BF65" t="str">
        <f>HYPERLINK("http://dx.doi.org/10.1016/S0011-2240(02)00028-7","http://dx.doi.org/10.1016/S0011-2240(02)00028-7")</f>
        <v>http://dx.doi.org/10.1016/S0011-2240(02)00028-7</v>
      </c>
      <c r="BG65" t="s">
        <v>74</v>
      </c>
      <c r="BH65" t="s">
        <v>74</v>
      </c>
      <c r="BI65">
        <v>11</v>
      </c>
      <c r="BJ65" t="s">
        <v>1093</v>
      </c>
      <c r="BK65" t="s">
        <v>170</v>
      </c>
      <c r="BL65" t="s">
        <v>1094</v>
      </c>
      <c r="BM65" t="s">
        <v>1095</v>
      </c>
      <c r="BN65">
        <v>12237089</v>
      </c>
      <c r="BO65" t="s">
        <v>74</v>
      </c>
      <c r="BP65" t="s">
        <v>74</v>
      </c>
      <c r="BQ65" t="s">
        <v>74</v>
      </c>
      <c r="BR65" t="s">
        <v>107</v>
      </c>
      <c r="BS65" t="s">
        <v>1096</v>
      </c>
      <c r="BT65" t="str">
        <f>HYPERLINK("https%3A%2F%2Fwww.webofscience.com%2Fwos%2Fwoscc%2Ffull-record%2FWOS:000178476400006","View Full Record in Web of Science")</f>
        <v>View Full Record in Web of Science</v>
      </c>
    </row>
    <row r="66" spans="1:72" x14ac:dyDescent="0.15">
      <c r="A66" t="s">
        <v>72</v>
      </c>
      <c r="B66" t="s">
        <v>1097</v>
      </c>
      <c r="C66" t="s">
        <v>74</v>
      </c>
      <c r="D66" t="s">
        <v>74</v>
      </c>
      <c r="E66" t="s">
        <v>74</v>
      </c>
      <c r="F66" t="s">
        <v>1097</v>
      </c>
      <c r="G66" t="s">
        <v>74</v>
      </c>
      <c r="H66" t="s">
        <v>74</v>
      </c>
      <c r="I66" t="s">
        <v>1098</v>
      </c>
      <c r="J66" t="s">
        <v>1099</v>
      </c>
      <c r="K66" t="s">
        <v>74</v>
      </c>
      <c r="L66" t="s">
        <v>74</v>
      </c>
      <c r="M66" t="s">
        <v>77</v>
      </c>
      <c r="N66" t="s">
        <v>947</v>
      </c>
      <c r="O66" t="s">
        <v>74</v>
      </c>
      <c r="P66" t="s">
        <v>74</v>
      </c>
      <c r="Q66" t="s">
        <v>74</v>
      </c>
      <c r="R66" t="s">
        <v>74</v>
      </c>
      <c r="S66" t="s">
        <v>74</v>
      </c>
      <c r="T66" t="s">
        <v>74</v>
      </c>
      <c r="U66" t="s">
        <v>1100</v>
      </c>
      <c r="V66" t="s">
        <v>1101</v>
      </c>
      <c r="W66" t="s">
        <v>1102</v>
      </c>
      <c r="X66" t="s">
        <v>1103</v>
      </c>
      <c r="Y66" t="s">
        <v>1104</v>
      </c>
      <c r="Z66" t="s">
        <v>1105</v>
      </c>
      <c r="AA66" t="s">
        <v>1106</v>
      </c>
      <c r="AB66" t="s">
        <v>1107</v>
      </c>
      <c r="AC66" t="s">
        <v>74</v>
      </c>
      <c r="AD66" t="s">
        <v>74</v>
      </c>
      <c r="AE66" t="s">
        <v>74</v>
      </c>
      <c r="AF66" t="s">
        <v>74</v>
      </c>
      <c r="AG66">
        <v>89</v>
      </c>
      <c r="AH66">
        <v>361</v>
      </c>
      <c r="AI66">
        <v>428</v>
      </c>
      <c r="AJ66">
        <v>5</v>
      </c>
      <c r="AK66">
        <v>184</v>
      </c>
      <c r="AL66" t="s">
        <v>894</v>
      </c>
      <c r="AM66" t="s">
        <v>895</v>
      </c>
      <c r="AN66" t="s">
        <v>896</v>
      </c>
      <c r="AO66" t="s">
        <v>1108</v>
      </c>
      <c r="AP66" t="s">
        <v>1109</v>
      </c>
      <c r="AQ66" t="s">
        <v>74</v>
      </c>
      <c r="AR66" t="s">
        <v>1110</v>
      </c>
      <c r="AS66" t="s">
        <v>1111</v>
      </c>
      <c r="AT66" t="s">
        <v>718</v>
      </c>
      <c r="AU66">
        <v>2002</v>
      </c>
      <c r="AV66">
        <v>13</v>
      </c>
      <c r="AW66">
        <v>3</v>
      </c>
      <c r="AX66" t="s">
        <v>74</v>
      </c>
      <c r="AY66" t="s">
        <v>74</v>
      </c>
      <c r="AZ66" t="s">
        <v>74</v>
      </c>
      <c r="BA66" t="s">
        <v>74</v>
      </c>
      <c r="BB66">
        <v>253</v>
      </c>
      <c r="BC66">
        <v>261</v>
      </c>
      <c r="BD66" t="s">
        <v>74</v>
      </c>
      <c r="BE66" t="s">
        <v>1112</v>
      </c>
      <c r="BF66" t="str">
        <f>HYPERLINK("http://dx.doi.org/10.1016/S0958-1669(02)00317-8","http://dx.doi.org/10.1016/S0958-1669(02)00317-8")</f>
        <v>http://dx.doi.org/10.1016/S0958-1669(02)00317-8</v>
      </c>
      <c r="BG66" t="s">
        <v>74</v>
      </c>
      <c r="BH66" t="s">
        <v>74</v>
      </c>
      <c r="BI66">
        <v>9</v>
      </c>
      <c r="BJ66" t="s">
        <v>1113</v>
      </c>
      <c r="BK66" t="s">
        <v>170</v>
      </c>
      <c r="BL66" t="s">
        <v>1114</v>
      </c>
      <c r="BM66" t="s">
        <v>1115</v>
      </c>
      <c r="BN66">
        <v>12180102</v>
      </c>
      <c r="BO66" t="s">
        <v>74</v>
      </c>
      <c r="BP66" t="s">
        <v>74</v>
      </c>
      <c r="BQ66" t="s">
        <v>74</v>
      </c>
      <c r="BR66" t="s">
        <v>107</v>
      </c>
      <c r="BS66" t="s">
        <v>1116</v>
      </c>
      <c r="BT66" t="str">
        <f>HYPERLINK("https%3A%2F%2Fwww.webofscience.com%2Fwos%2Fwoscc%2Ffull-record%2FWOS:000175903900011","View Full Record in Web of Science")</f>
        <v>View Full Record in Web of Science</v>
      </c>
    </row>
    <row r="67" spans="1:72" x14ac:dyDescent="0.15">
      <c r="A67" t="s">
        <v>72</v>
      </c>
      <c r="B67" t="s">
        <v>1117</v>
      </c>
      <c r="C67" t="s">
        <v>74</v>
      </c>
      <c r="D67" t="s">
        <v>74</v>
      </c>
      <c r="E67" t="s">
        <v>74</v>
      </c>
      <c r="F67" t="s">
        <v>1117</v>
      </c>
      <c r="G67" t="s">
        <v>74</v>
      </c>
      <c r="H67" t="s">
        <v>74</v>
      </c>
      <c r="I67" t="s">
        <v>1118</v>
      </c>
      <c r="J67" t="s">
        <v>1119</v>
      </c>
      <c r="K67" t="s">
        <v>74</v>
      </c>
      <c r="L67" t="s">
        <v>74</v>
      </c>
      <c r="M67" t="s">
        <v>77</v>
      </c>
      <c r="N67" t="s">
        <v>947</v>
      </c>
      <c r="O67" t="s">
        <v>74</v>
      </c>
      <c r="P67" t="s">
        <v>74</v>
      </c>
      <c r="Q67" t="s">
        <v>74</v>
      </c>
      <c r="R67" t="s">
        <v>74</v>
      </c>
      <c r="S67" t="s">
        <v>74</v>
      </c>
      <c r="T67" t="s">
        <v>74</v>
      </c>
      <c r="U67" t="s">
        <v>1120</v>
      </c>
      <c r="V67" t="s">
        <v>1121</v>
      </c>
      <c r="W67" t="s">
        <v>1122</v>
      </c>
      <c r="X67" t="s">
        <v>1123</v>
      </c>
      <c r="Y67" t="s">
        <v>1124</v>
      </c>
      <c r="Z67" t="s">
        <v>1125</v>
      </c>
      <c r="AA67" t="s">
        <v>74</v>
      </c>
      <c r="AB67" t="s">
        <v>74</v>
      </c>
      <c r="AC67" t="s">
        <v>74</v>
      </c>
      <c r="AD67" t="s">
        <v>74</v>
      </c>
      <c r="AE67" t="s">
        <v>74</v>
      </c>
      <c r="AF67" t="s">
        <v>74</v>
      </c>
      <c r="AG67">
        <v>72</v>
      </c>
      <c r="AH67">
        <v>252</v>
      </c>
      <c r="AI67">
        <v>305</v>
      </c>
      <c r="AJ67">
        <v>2</v>
      </c>
      <c r="AK67">
        <v>103</v>
      </c>
      <c r="AL67" t="s">
        <v>1126</v>
      </c>
      <c r="AM67" t="s">
        <v>1127</v>
      </c>
      <c r="AN67" t="s">
        <v>1128</v>
      </c>
      <c r="AO67" t="s">
        <v>1129</v>
      </c>
      <c r="AP67" t="s">
        <v>1130</v>
      </c>
      <c r="AQ67" t="s">
        <v>74</v>
      </c>
      <c r="AR67" t="s">
        <v>1131</v>
      </c>
      <c r="AS67" t="s">
        <v>1132</v>
      </c>
      <c r="AT67" t="s">
        <v>718</v>
      </c>
      <c r="AU67">
        <v>2002</v>
      </c>
      <c r="AV67">
        <v>5</v>
      </c>
      <c r="AW67">
        <v>3</v>
      </c>
      <c r="AX67" t="s">
        <v>74</v>
      </c>
      <c r="AY67" t="s">
        <v>74</v>
      </c>
      <c r="AZ67" t="s">
        <v>74</v>
      </c>
      <c r="BA67" t="s">
        <v>74</v>
      </c>
      <c r="BB67">
        <v>301</v>
      </c>
      <c r="BC67">
        <v>309</v>
      </c>
      <c r="BD67" t="s">
        <v>74</v>
      </c>
      <c r="BE67" t="s">
        <v>1133</v>
      </c>
      <c r="BF67" t="str">
        <f>HYPERLINK("http://dx.doi.org/10.1016/S1369-5274(02)00329-6","http://dx.doi.org/10.1016/S1369-5274(02)00329-6")</f>
        <v>http://dx.doi.org/10.1016/S1369-5274(02)00329-6</v>
      </c>
      <c r="BG67" t="s">
        <v>74</v>
      </c>
      <c r="BH67" t="s">
        <v>74</v>
      </c>
      <c r="BI67">
        <v>9</v>
      </c>
      <c r="BJ67" t="s">
        <v>1134</v>
      </c>
      <c r="BK67" t="s">
        <v>170</v>
      </c>
      <c r="BL67" t="s">
        <v>1134</v>
      </c>
      <c r="BM67" t="s">
        <v>1135</v>
      </c>
      <c r="BN67">
        <v>12057685</v>
      </c>
      <c r="BO67" t="s">
        <v>74</v>
      </c>
      <c r="BP67" t="s">
        <v>74</v>
      </c>
      <c r="BQ67" t="s">
        <v>74</v>
      </c>
      <c r="BR67" t="s">
        <v>107</v>
      </c>
      <c r="BS67" t="s">
        <v>1136</v>
      </c>
      <c r="BT67" t="str">
        <f>HYPERLINK("https%3A%2F%2Fwww.webofscience.com%2Fwos%2Fwoscc%2Ffull-record%2FWOS:000176281700011","View Full Record in Web of Science")</f>
        <v>View Full Record in Web of Science</v>
      </c>
    </row>
    <row r="68" spans="1:72" x14ac:dyDescent="0.15">
      <c r="A68" t="s">
        <v>72</v>
      </c>
      <c r="B68" t="s">
        <v>1137</v>
      </c>
      <c r="C68" t="s">
        <v>74</v>
      </c>
      <c r="D68" t="s">
        <v>74</v>
      </c>
      <c r="E68" t="s">
        <v>74</v>
      </c>
      <c r="F68" t="s">
        <v>1137</v>
      </c>
      <c r="G68" t="s">
        <v>74</v>
      </c>
      <c r="H68" t="s">
        <v>74</v>
      </c>
      <c r="I68" t="s">
        <v>1138</v>
      </c>
      <c r="J68" t="s">
        <v>1139</v>
      </c>
      <c r="K68" t="s">
        <v>74</v>
      </c>
      <c r="L68" t="s">
        <v>74</v>
      </c>
      <c r="M68" t="s">
        <v>77</v>
      </c>
      <c r="N68" t="s">
        <v>153</v>
      </c>
      <c r="O68" t="s">
        <v>74</v>
      </c>
      <c r="P68" t="s">
        <v>74</v>
      </c>
      <c r="Q68" t="s">
        <v>74</v>
      </c>
      <c r="R68" t="s">
        <v>74</v>
      </c>
      <c r="S68" t="s">
        <v>74</v>
      </c>
      <c r="T68" t="s">
        <v>1140</v>
      </c>
      <c r="U68" t="s">
        <v>1141</v>
      </c>
      <c r="V68" t="s">
        <v>1142</v>
      </c>
      <c r="W68" t="s">
        <v>1143</v>
      </c>
      <c r="X68" t="s">
        <v>1144</v>
      </c>
      <c r="Y68" t="s">
        <v>1145</v>
      </c>
      <c r="Z68" t="s">
        <v>1146</v>
      </c>
      <c r="AA68" t="s">
        <v>1147</v>
      </c>
      <c r="AB68" t="s">
        <v>1148</v>
      </c>
      <c r="AC68" t="s">
        <v>74</v>
      </c>
      <c r="AD68" t="s">
        <v>74</v>
      </c>
      <c r="AE68" t="s">
        <v>74</v>
      </c>
      <c r="AF68" t="s">
        <v>74</v>
      </c>
      <c r="AG68">
        <v>88</v>
      </c>
      <c r="AH68">
        <v>29</v>
      </c>
      <c r="AI68">
        <v>31</v>
      </c>
      <c r="AJ68">
        <v>1</v>
      </c>
      <c r="AK68">
        <v>31</v>
      </c>
      <c r="AL68" t="s">
        <v>1013</v>
      </c>
      <c r="AM68" t="s">
        <v>895</v>
      </c>
      <c r="AN68" t="s">
        <v>1014</v>
      </c>
      <c r="AO68" t="s">
        <v>1149</v>
      </c>
      <c r="AP68" t="s">
        <v>1150</v>
      </c>
      <c r="AQ68" t="s">
        <v>74</v>
      </c>
      <c r="AR68" t="s">
        <v>1151</v>
      </c>
      <c r="AS68" t="s">
        <v>1152</v>
      </c>
      <c r="AT68" t="s">
        <v>718</v>
      </c>
      <c r="AU68">
        <v>2002</v>
      </c>
      <c r="AV68">
        <v>49</v>
      </c>
      <c r="AW68">
        <v>6</v>
      </c>
      <c r="AX68" t="s">
        <v>74</v>
      </c>
      <c r="AY68" t="s">
        <v>74</v>
      </c>
      <c r="AZ68" t="s">
        <v>74</v>
      </c>
      <c r="BA68" t="s">
        <v>74</v>
      </c>
      <c r="BB68">
        <v>1027</v>
      </c>
      <c r="BC68">
        <v>1048</v>
      </c>
      <c r="BD68" t="s">
        <v>1153</v>
      </c>
      <c r="BE68" t="s">
        <v>1154</v>
      </c>
      <c r="BF68" t="str">
        <f>HYPERLINK("http://dx.doi.org/10.1016/S0967-0637(02)00012-2","http://dx.doi.org/10.1016/S0967-0637(02)00012-2")</f>
        <v>http://dx.doi.org/10.1016/S0967-0637(02)00012-2</v>
      </c>
      <c r="BG68" t="s">
        <v>74</v>
      </c>
      <c r="BH68" t="s">
        <v>74</v>
      </c>
      <c r="BI68">
        <v>22</v>
      </c>
      <c r="BJ68" t="s">
        <v>1155</v>
      </c>
      <c r="BK68" t="s">
        <v>170</v>
      </c>
      <c r="BL68" t="s">
        <v>1155</v>
      </c>
      <c r="BM68" t="s">
        <v>1156</v>
      </c>
      <c r="BN68" t="s">
        <v>74</v>
      </c>
      <c r="BO68" t="s">
        <v>74</v>
      </c>
      <c r="BP68" t="s">
        <v>74</v>
      </c>
      <c r="BQ68" t="s">
        <v>74</v>
      </c>
      <c r="BR68" t="s">
        <v>107</v>
      </c>
      <c r="BS68" t="s">
        <v>1157</v>
      </c>
      <c r="BT68" t="str">
        <f>HYPERLINK("https%3A%2F%2Fwww.webofscience.com%2Fwos%2Fwoscc%2Ffull-record%2FWOS:000177020200005","View Full Record in Web of Science")</f>
        <v>View Full Record in Web of Science</v>
      </c>
    </row>
    <row r="69" spans="1:72" x14ac:dyDescent="0.15">
      <c r="A69" t="s">
        <v>72</v>
      </c>
      <c r="B69" t="s">
        <v>1158</v>
      </c>
      <c r="C69" t="s">
        <v>74</v>
      </c>
      <c r="D69" t="s">
        <v>74</v>
      </c>
      <c r="E69" t="s">
        <v>74</v>
      </c>
      <c r="F69" t="s">
        <v>1158</v>
      </c>
      <c r="G69" t="s">
        <v>74</v>
      </c>
      <c r="H69" t="s">
        <v>74</v>
      </c>
      <c r="I69" t="s">
        <v>1159</v>
      </c>
      <c r="J69" t="s">
        <v>1139</v>
      </c>
      <c r="K69" t="s">
        <v>74</v>
      </c>
      <c r="L69" t="s">
        <v>74</v>
      </c>
      <c r="M69" t="s">
        <v>77</v>
      </c>
      <c r="N69" t="s">
        <v>153</v>
      </c>
      <c r="O69" t="s">
        <v>74</v>
      </c>
      <c r="P69" t="s">
        <v>74</v>
      </c>
      <c r="Q69" t="s">
        <v>74</v>
      </c>
      <c r="R69" t="s">
        <v>74</v>
      </c>
      <c r="S69" t="s">
        <v>74</v>
      </c>
      <c r="T69" t="s">
        <v>1160</v>
      </c>
      <c r="U69" t="s">
        <v>1161</v>
      </c>
      <c r="V69" t="s">
        <v>1162</v>
      </c>
      <c r="W69" t="s">
        <v>1163</v>
      </c>
      <c r="X69" t="s">
        <v>1164</v>
      </c>
      <c r="Y69" t="s">
        <v>1165</v>
      </c>
      <c r="Z69" t="s">
        <v>74</v>
      </c>
      <c r="AA69" t="s">
        <v>1166</v>
      </c>
      <c r="AB69" t="s">
        <v>74</v>
      </c>
      <c r="AC69" t="s">
        <v>74</v>
      </c>
      <c r="AD69" t="s">
        <v>74</v>
      </c>
      <c r="AE69" t="s">
        <v>74</v>
      </c>
      <c r="AF69" t="s">
        <v>74</v>
      </c>
      <c r="AG69">
        <v>24</v>
      </c>
      <c r="AH69">
        <v>6</v>
      </c>
      <c r="AI69">
        <v>6</v>
      </c>
      <c r="AJ69">
        <v>1</v>
      </c>
      <c r="AK69">
        <v>18</v>
      </c>
      <c r="AL69" t="s">
        <v>1013</v>
      </c>
      <c r="AM69" t="s">
        <v>895</v>
      </c>
      <c r="AN69" t="s">
        <v>1014</v>
      </c>
      <c r="AO69" t="s">
        <v>1149</v>
      </c>
      <c r="AP69" t="s">
        <v>74</v>
      </c>
      <c r="AQ69" t="s">
        <v>74</v>
      </c>
      <c r="AR69" t="s">
        <v>1151</v>
      </c>
      <c r="AS69" t="s">
        <v>1152</v>
      </c>
      <c r="AT69" t="s">
        <v>718</v>
      </c>
      <c r="AU69">
        <v>2002</v>
      </c>
      <c r="AV69">
        <v>49</v>
      </c>
      <c r="AW69">
        <v>6</v>
      </c>
      <c r="AX69" t="s">
        <v>74</v>
      </c>
      <c r="AY69" t="s">
        <v>74</v>
      </c>
      <c r="AZ69" t="s">
        <v>74</v>
      </c>
      <c r="BA69" t="s">
        <v>74</v>
      </c>
      <c r="BB69">
        <v>1049</v>
      </c>
      <c r="BC69">
        <v>1054</v>
      </c>
      <c r="BD69" t="s">
        <v>1167</v>
      </c>
      <c r="BE69" t="s">
        <v>1168</v>
      </c>
      <c r="BF69" t="str">
        <f>HYPERLINK("http://dx.doi.org/10.1016/S0967-0637(02)00014-6","http://dx.doi.org/10.1016/S0967-0637(02)00014-6")</f>
        <v>http://dx.doi.org/10.1016/S0967-0637(02)00014-6</v>
      </c>
      <c r="BG69" t="s">
        <v>74</v>
      </c>
      <c r="BH69" t="s">
        <v>74</v>
      </c>
      <c r="BI69">
        <v>6</v>
      </c>
      <c r="BJ69" t="s">
        <v>1155</v>
      </c>
      <c r="BK69" t="s">
        <v>170</v>
      </c>
      <c r="BL69" t="s">
        <v>1155</v>
      </c>
      <c r="BM69" t="s">
        <v>1156</v>
      </c>
      <c r="BN69" t="s">
        <v>74</v>
      </c>
      <c r="BO69" t="s">
        <v>74</v>
      </c>
      <c r="BP69" t="s">
        <v>74</v>
      </c>
      <c r="BQ69" t="s">
        <v>74</v>
      </c>
      <c r="BR69" t="s">
        <v>107</v>
      </c>
      <c r="BS69" t="s">
        <v>1169</v>
      </c>
      <c r="BT69" t="str">
        <f>HYPERLINK("https%3A%2F%2Fwww.webofscience.com%2Fwos%2Fwoscc%2Ffull-record%2FWOS:000177020200006","View Full Record in Web of Science")</f>
        <v>View Full Record in Web of Science</v>
      </c>
    </row>
    <row r="70" spans="1:72" x14ac:dyDescent="0.15">
      <c r="A70" t="s">
        <v>72</v>
      </c>
      <c r="B70" t="s">
        <v>1170</v>
      </c>
      <c r="C70" t="s">
        <v>74</v>
      </c>
      <c r="D70" t="s">
        <v>74</v>
      </c>
      <c r="E70" t="s">
        <v>74</v>
      </c>
      <c r="F70" t="s">
        <v>1170</v>
      </c>
      <c r="G70" t="s">
        <v>74</v>
      </c>
      <c r="H70" t="s">
        <v>74</v>
      </c>
      <c r="I70" t="s">
        <v>1171</v>
      </c>
      <c r="J70" t="s">
        <v>1172</v>
      </c>
      <c r="K70" t="s">
        <v>74</v>
      </c>
      <c r="L70" t="s">
        <v>74</v>
      </c>
      <c r="M70" t="s">
        <v>77</v>
      </c>
      <c r="N70" t="s">
        <v>153</v>
      </c>
      <c r="O70" t="s">
        <v>74</v>
      </c>
      <c r="P70" t="s">
        <v>74</v>
      </c>
      <c r="Q70" t="s">
        <v>74</v>
      </c>
      <c r="R70" t="s">
        <v>74</v>
      </c>
      <c r="S70" t="s">
        <v>74</v>
      </c>
      <c r="T70" t="s">
        <v>74</v>
      </c>
      <c r="U70" t="s">
        <v>1173</v>
      </c>
      <c r="V70" t="s">
        <v>74</v>
      </c>
      <c r="W70" t="s">
        <v>1174</v>
      </c>
      <c r="X70" t="s">
        <v>1175</v>
      </c>
      <c r="Y70" t="s">
        <v>1176</v>
      </c>
      <c r="Z70" t="s">
        <v>74</v>
      </c>
      <c r="AA70" t="s">
        <v>1177</v>
      </c>
      <c r="AB70" t="s">
        <v>1178</v>
      </c>
      <c r="AC70" t="s">
        <v>74</v>
      </c>
      <c r="AD70" t="s">
        <v>74</v>
      </c>
      <c r="AE70" t="s">
        <v>74</v>
      </c>
      <c r="AF70" t="s">
        <v>74</v>
      </c>
      <c r="AG70">
        <v>12</v>
      </c>
      <c r="AH70">
        <v>1</v>
      </c>
      <c r="AI70">
        <v>1</v>
      </c>
      <c r="AJ70">
        <v>0</v>
      </c>
      <c r="AK70">
        <v>1</v>
      </c>
      <c r="AL70" t="s">
        <v>1179</v>
      </c>
      <c r="AM70" t="s">
        <v>1180</v>
      </c>
      <c r="AN70" t="s">
        <v>1181</v>
      </c>
      <c r="AO70" t="s">
        <v>1182</v>
      </c>
      <c r="AP70" t="s">
        <v>74</v>
      </c>
      <c r="AQ70" t="s">
        <v>74</v>
      </c>
      <c r="AR70" t="s">
        <v>1183</v>
      </c>
      <c r="AS70" t="s">
        <v>1184</v>
      </c>
      <c r="AT70" t="s">
        <v>1185</v>
      </c>
      <c r="AU70">
        <v>2002</v>
      </c>
      <c r="AV70">
        <v>385</v>
      </c>
      <c r="AW70">
        <v>5</v>
      </c>
      <c r="AX70" t="s">
        <v>74</v>
      </c>
      <c r="AY70" t="s">
        <v>74</v>
      </c>
      <c r="AZ70" t="s">
        <v>74</v>
      </c>
      <c r="BA70" t="s">
        <v>74</v>
      </c>
      <c r="BB70">
        <v>578</v>
      </c>
      <c r="BC70">
        <v>582</v>
      </c>
      <c r="BD70" t="s">
        <v>74</v>
      </c>
      <c r="BE70" t="s">
        <v>74</v>
      </c>
      <c r="BF70" t="s">
        <v>74</v>
      </c>
      <c r="BG70" t="s">
        <v>74</v>
      </c>
      <c r="BH70" t="s">
        <v>74</v>
      </c>
      <c r="BI70">
        <v>5</v>
      </c>
      <c r="BJ70" t="s">
        <v>608</v>
      </c>
      <c r="BK70" t="s">
        <v>170</v>
      </c>
      <c r="BL70" t="s">
        <v>439</v>
      </c>
      <c r="BM70" t="s">
        <v>1186</v>
      </c>
      <c r="BN70" t="s">
        <v>74</v>
      </c>
      <c r="BO70" t="s">
        <v>74</v>
      </c>
      <c r="BP70" t="s">
        <v>74</v>
      </c>
      <c r="BQ70" t="s">
        <v>74</v>
      </c>
      <c r="BR70" t="s">
        <v>107</v>
      </c>
      <c r="BS70" t="s">
        <v>1187</v>
      </c>
      <c r="BT70" t="str">
        <f>HYPERLINK("https%3A%2F%2Fwww.webofscience.com%2Fwos%2Fwoscc%2Ffull-record%2FWOS:000177166100024","View Full Record in Web of Science")</f>
        <v>View Full Record in Web of Science</v>
      </c>
    </row>
    <row r="71" spans="1:72" x14ac:dyDescent="0.15">
      <c r="A71" t="s">
        <v>72</v>
      </c>
      <c r="B71" t="s">
        <v>1188</v>
      </c>
      <c r="C71" t="s">
        <v>74</v>
      </c>
      <c r="D71" t="s">
        <v>74</v>
      </c>
      <c r="E71" t="s">
        <v>74</v>
      </c>
      <c r="F71" t="s">
        <v>1188</v>
      </c>
      <c r="G71" t="s">
        <v>74</v>
      </c>
      <c r="H71" t="s">
        <v>74</v>
      </c>
      <c r="I71" t="s">
        <v>1189</v>
      </c>
      <c r="J71" t="s">
        <v>1172</v>
      </c>
      <c r="K71" t="s">
        <v>74</v>
      </c>
      <c r="L71" t="s">
        <v>74</v>
      </c>
      <c r="M71" t="s">
        <v>77</v>
      </c>
      <c r="N71" t="s">
        <v>153</v>
      </c>
      <c r="O71" t="s">
        <v>74</v>
      </c>
      <c r="P71" t="s">
        <v>74</v>
      </c>
      <c r="Q71" t="s">
        <v>74</v>
      </c>
      <c r="R71" t="s">
        <v>74</v>
      </c>
      <c r="S71" t="s">
        <v>74</v>
      </c>
      <c r="T71" t="s">
        <v>74</v>
      </c>
      <c r="U71" t="s">
        <v>1190</v>
      </c>
      <c r="V71" t="s">
        <v>74</v>
      </c>
      <c r="W71" t="s">
        <v>1191</v>
      </c>
      <c r="X71" t="s">
        <v>1192</v>
      </c>
      <c r="Y71" t="s">
        <v>1193</v>
      </c>
      <c r="Z71" t="s">
        <v>1194</v>
      </c>
      <c r="AA71" t="s">
        <v>1195</v>
      </c>
      <c r="AB71" t="s">
        <v>1196</v>
      </c>
      <c r="AC71" t="s">
        <v>74</v>
      </c>
      <c r="AD71" t="s">
        <v>74</v>
      </c>
      <c r="AE71" t="s">
        <v>74</v>
      </c>
      <c r="AF71" t="s">
        <v>74</v>
      </c>
      <c r="AG71">
        <v>15</v>
      </c>
      <c r="AH71">
        <v>3</v>
      </c>
      <c r="AI71">
        <v>3</v>
      </c>
      <c r="AJ71">
        <v>1</v>
      </c>
      <c r="AK71">
        <v>6</v>
      </c>
      <c r="AL71" t="s">
        <v>1197</v>
      </c>
      <c r="AM71" t="s">
        <v>195</v>
      </c>
      <c r="AN71" t="s">
        <v>1198</v>
      </c>
      <c r="AO71" t="s">
        <v>1182</v>
      </c>
      <c r="AP71" t="s">
        <v>1199</v>
      </c>
      <c r="AQ71" t="s">
        <v>74</v>
      </c>
      <c r="AR71" t="s">
        <v>1183</v>
      </c>
      <c r="AS71" t="s">
        <v>1184</v>
      </c>
      <c r="AT71" t="s">
        <v>1185</v>
      </c>
      <c r="AU71">
        <v>2002</v>
      </c>
      <c r="AV71">
        <v>385</v>
      </c>
      <c r="AW71">
        <v>5</v>
      </c>
      <c r="AX71" t="s">
        <v>74</v>
      </c>
      <c r="AY71" t="s">
        <v>74</v>
      </c>
      <c r="AZ71" t="s">
        <v>74</v>
      </c>
      <c r="BA71" t="s">
        <v>74</v>
      </c>
      <c r="BB71">
        <v>609</v>
      </c>
      <c r="BC71">
        <v>614</v>
      </c>
      <c r="BD71" t="s">
        <v>74</v>
      </c>
      <c r="BE71" t="s">
        <v>74</v>
      </c>
      <c r="BF71" t="s">
        <v>74</v>
      </c>
      <c r="BG71" t="s">
        <v>74</v>
      </c>
      <c r="BH71" t="s">
        <v>74</v>
      </c>
      <c r="BI71">
        <v>6</v>
      </c>
      <c r="BJ71" t="s">
        <v>608</v>
      </c>
      <c r="BK71" t="s">
        <v>170</v>
      </c>
      <c r="BL71" t="s">
        <v>439</v>
      </c>
      <c r="BM71" t="s">
        <v>1186</v>
      </c>
      <c r="BN71" t="s">
        <v>74</v>
      </c>
      <c r="BO71" t="s">
        <v>74</v>
      </c>
      <c r="BP71" t="s">
        <v>74</v>
      </c>
      <c r="BQ71" t="s">
        <v>74</v>
      </c>
      <c r="BR71" t="s">
        <v>107</v>
      </c>
      <c r="BS71" t="s">
        <v>1200</v>
      </c>
      <c r="BT71" t="str">
        <f>HYPERLINK("https%3A%2F%2Fwww.webofscience.com%2Fwos%2Fwoscc%2Ffull-record%2FWOS:000177166100031","View Full Record in Web of Science")</f>
        <v>View Full Record in Web of Science</v>
      </c>
    </row>
    <row r="72" spans="1:72" x14ac:dyDescent="0.15">
      <c r="A72" t="s">
        <v>72</v>
      </c>
      <c r="B72" t="s">
        <v>1201</v>
      </c>
      <c r="C72" t="s">
        <v>74</v>
      </c>
      <c r="D72" t="s">
        <v>74</v>
      </c>
      <c r="E72" t="s">
        <v>74</v>
      </c>
      <c r="F72" t="s">
        <v>1201</v>
      </c>
      <c r="G72" t="s">
        <v>74</v>
      </c>
      <c r="H72" t="s">
        <v>74</v>
      </c>
      <c r="I72" t="s">
        <v>1202</v>
      </c>
      <c r="J72" t="s">
        <v>1203</v>
      </c>
      <c r="K72" t="s">
        <v>74</v>
      </c>
      <c r="L72" t="s">
        <v>74</v>
      </c>
      <c r="M72" t="s">
        <v>77</v>
      </c>
      <c r="N72" t="s">
        <v>153</v>
      </c>
      <c r="O72" t="s">
        <v>74</v>
      </c>
      <c r="P72" t="s">
        <v>74</v>
      </c>
      <c r="Q72" t="s">
        <v>74</v>
      </c>
      <c r="R72" t="s">
        <v>74</v>
      </c>
      <c r="S72" t="s">
        <v>74</v>
      </c>
      <c r="T72" t="s">
        <v>1204</v>
      </c>
      <c r="U72" t="s">
        <v>1205</v>
      </c>
      <c r="V72" t="s">
        <v>1206</v>
      </c>
      <c r="W72" t="s">
        <v>1207</v>
      </c>
      <c r="X72" t="s">
        <v>1208</v>
      </c>
      <c r="Y72" t="s">
        <v>1209</v>
      </c>
      <c r="Z72" t="s">
        <v>1210</v>
      </c>
      <c r="AA72" t="s">
        <v>1211</v>
      </c>
      <c r="AB72" t="s">
        <v>1212</v>
      </c>
      <c r="AC72" t="s">
        <v>74</v>
      </c>
      <c r="AD72" t="s">
        <v>74</v>
      </c>
      <c r="AE72" t="s">
        <v>74</v>
      </c>
      <c r="AF72" t="s">
        <v>74</v>
      </c>
      <c r="AG72">
        <v>26</v>
      </c>
      <c r="AH72">
        <v>11</v>
      </c>
      <c r="AI72">
        <v>12</v>
      </c>
      <c r="AJ72">
        <v>2</v>
      </c>
      <c r="AK72">
        <v>14</v>
      </c>
      <c r="AL72" t="s">
        <v>394</v>
      </c>
      <c r="AM72" t="s">
        <v>395</v>
      </c>
      <c r="AN72" t="s">
        <v>396</v>
      </c>
      <c r="AO72" t="s">
        <v>1213</v>
      </c>
      <c r="AP72" t="s">
        <v>1214</v>
      </c>
      <c r="AQ72" t="s">
        <v>74</v>
      </c>
      <c r="AR72" t="s">
        <v>1215</v>
      </c>
      <c r="AS72" t="s">
        <v>1216</v>
      </c>
      <c r="AT72" t="s">
        <v>718</v>
      </c>
      <c r="AU72">
        <v>2002</v>
      </c>
      <c r="AV72">
        <v>27</v>
      </c>
      <c r="AW72">
        <v>6</v>
      </c>
      <c r="AX72" t="s">
        <v>74</v>
      </c>
      <c r="AY72" t="s">
        <v>74</v>
      </c>
      <c r="AZ72" t="s">
        <v>74</v>
      </c>
      <c r="BA72" t="s">
        <v>74</v>
      </c>
      <c r="BB72">
        <v>673</v>
      </c>
      <c r="BC72">
        <v>680</v>
      </c>
      <c r="BD72" t="s">
        <v>74</v>
      </c>
      <c r="BE72" t="s">
        <v>1217</v>
      </c>
      <c r="BF72" t="str">
        <f>HYPERLINK("http://dx.doi.org/10.1002/esp.344","http://dx.doi.org/10.1002/esp.344")</f>
        <v>http://dx.doi.org/10.1002/esp.344</v>
      </c>
      <c r="BG72" t="s">
        <v>74</v>
      </c>
      <c r="BH72" t="s">
        <v>74</v>
      </c>
      <c r="BI72">
        <v>8</v>
      </c>
      <c r="BJ72" t="s">
        <v>1218</v>
      </c>
      <c r="BK72" t="s">
        <v>170</v>
      </c>
      <c r="BL72" t="s">
        <v>224</v>
      </c>
      <c r="BM72" t="s">
        <v>1219</v>
      </c>
      <c r="BN72" t="s">
        <v>74</v>
      </c>
      <c r="BO72" t="s">
        <v>74</v>
      </c>
      <c r="BP72" t="s">
        <v>74</v>
      </c>
      <c r="BQ72" t="s">
        <v>74</v>
      </c>
      <c r="BR72" t="s">
        <v>107</v>
      </c>
      <c r="BS72" t="s">
        <v>1220</v>
      </c>
      <c r="BT72" t="str">
        <f>HYPERLINK("https%3A%2F%2Fwww.webofscience.com%2Fwos%2Fwoscc%2Ffull-record%2FWOS:000176639300008","View Full Record in Web of Science")</f>
        <v>View Full Record in Web of Science</v>
      </c>
    </row>
    <row r="73" spans="1:72" x14ac:dyDescent="0.15">
      <c r="A73" t="s">
        <v>72</v>
      </c>
      <c r="B73" t="s">
        <v>1221</v>
      </c>
      <c r="C73" t="s">
        <v>74</v>
      </c>
      <c r="D73" t="s">
        <v>74</v>
      </c>
      <c r="E73" t="s">
        <v>74</v>
      </c>
      <c r="F73" t="s">
        <v>1221</v>
      </c>
      <c r="G73" t="s">
        <v>74</v>
      </c>
      <c r="H73" t="s">
        <v>74</v>
      </c>
      <c r="I73" t="s">
        <v>1222</v>
      </c>
      <c r="J73" t="s">
        <v>1223</v>
      </c>
      <c r="K73" t="s">
        <v>74</v>
      </c>
      <c r="L73" t="s">
        <v>74</v>
      </c>
      <c r="M73" t="s">
        <v>77</v>
      </c>
      <c r="N73" t="s">
        <v>153</v>
      </c>
      <c r="O73" t="s">
        <v>74</v>
      </c>
      <c r="P73" t="s">
        <v>74</v>
      </c>
      <c r="Q73" t="s">
        <v>74</v>
      </c>
      <c r="R73" t="s">
        <v>74</v>
      </c>
      <c r="S73" t="s">
        <v>74</v>
      </c>
      <c r="T73" t="s">
        <v>74</v>
      </c>
      <c r="U73" t="s">
        <v>74</v>
      </c>
      <c r="V73" t="s">
        <v>1224</v>
      </c>
      <c r="W73" t="s">
        <v>1225</v>
      </c>
      <c r="X73" t="s">
        <v>1226</v>
      </c>
      <c r="Y73" t="s">
        <v>1227</v>
      </c>
      <c r="Z73" t="s">
        <v>74</v>
      </c>
      <c r="AA73" t="s">
        <v>74</v>
      </c>
      <c r="AB73" t="s">
        <v>74</v>
      </c>
      <c r="AC73" t="s">
        <v>74</v>
      </c>
      <c r="AD73" t="s">
        <v>74</v>
      </c>
      <c r="AE73" t="s">
        <v>74</v>
      </c>
      <c r="AF73" t="s">
        <v>74</v>
      </c>
      <c r="AG73">
        <v>28</v>
      </c>
      <c r="AH73">
        <v>10</v>
      </c>
      <c r="AI73">
        <v>10</v>
      </c>
      <c r="AJ73">
        <v>0</v>
      </c>
      <c r="AK73">
        <v>23</v>
      </c>
      <c r="AL73" t="s">
        <v>1228</v>
      </c>
      <c r="AM73" t="s">
        <v>1229</v>
      </c>
      <c r="AN73" t="s">
        <v>1230</v>
      </c>
      <c r="AO73" t="s">
        <v>1231</v>
      </c>
      <c r="AP73" t="s">
        <v>74</v>
      </c>
      <c r="AQ73" t="s">
        <v>74</v>
      </c>
      <c r="AR73" t="s">
        <v>1232</v>
      </c>
      <c r="AS73" t="s">
        <v>1233</v>
      </c>
      <c r="AT73" t="s">
        <v>742</v>
      </c>
      <c r="AU73">
        <v>2002</v>
      </c>
      <c r="AV73">
        <v>24</v>
      </c>
      <c r="AW73">
        <v>2</v>
      </c>
      <c r="AX73" t="s">
        <v>74</v>
      </c>
      <c r="AY73" t="s">
        <v>74</v>
      </c>
      <c r="AZ73" t="s">
        <v>74</v>
      </c>
      <c r="BA73" t="s">
        <v>74</v>
      </c>
      <c r="BB73">
        <v>115</v>
      </c>
      <c r="BC73">
        <v>134</v>
      </c>
      <c r="BD73" t="s">
        <v>74</v>
      </c>
      <c r="BE73" t="s">
        <v>1234</v>
      </c>
      <c r="BF73" t="str">
        <f>HYPERLINK("http://dx.doi.org/10.5840/enviroethics200224226","http://dx.doi.org/10.5840/enviroethics200224226")</f>
        <v>http://dx.doi.org/10.5840/enviroethics200224226</v>
      </c>
      <c r="BG73" t="s">
        <v>74</v>
      </c>
      <c r="BH73" t="s">
        <v>74</v>
      </c>
      <c r="BI73">
        <v>20</v>
      </c>
      <c r="BJ73" t="s">
        <v>1235</v>
      </c>
      <c r="BK73" t="s">
        <v>1236</v>
      </c>
      <c r="BL73" t="s">
        <v>1237</v>
      </c>
      <c r="BM73" t="s">
        <v>1238</v>
      </c>
      <c r="BN73" t="s">
        <v>74</v>
      </c>
      <c r="BO73" t="s">
        <v>665</v>
      </c>
      <c r="BP73" t="s">
        <v>74</v>
      </c>
      <c r="BQ73" t="s">
        <v>74</v>
      </c>
      <c r="BR73" t="s">
        <v>107</v>
      </c>
      <c r="BS73" t="s">
        <v>1239</v>
      </c>
      <c r="BT73" t="str">
        <f>HYPERLINK("https%3A%2F%2Fwww.webofscience.com%2Fwos%2Fwoscc%2Ffull-record%2FWOS:000176036900001","View Full Record in Web of Science")</f>
        <v>View Full Record in Web of Science</v>
      </c>
    </row>
    <row r="74" spans="1:72" x14ac:dyDescent="0.15">
      <c r="A74" t="s">
        <v>72</v>
      </c>
      <c r="B74" t="s">
        <v>1240</v>
      </c>
      <c r="C74" t="s">
        <v>74</v>
      </c>
      <c r="D74" t="s">
        <v>74</v>
      </c>
      <c r="E74" t="s">
        <v>74</v>
      </c>
      <c r="F74" t="s">
        <v>1240</v>
      </c>
      <c r="G74" t="s">
        <v>74</v>
      </c>
      <c r="H74" t="s">
        <v>74</v>
      </c>
      <c r="I74" t="s">
        <v>1241</v>
      </c>
      <c r="J74" t="s">
        <v>1242</v>
      </c>
      <c r="K74" t="s">
        <v>74</v>
      </c>
      <c r="L74" t="s">
        <v>74</v>
      </c>
      <c r="M74" t="s">
        <v>77</v>
      </c>
      <c r="N74" t="s">
        <v>153</v>
      </c>
      <c r="O74" t="s">
        <v>74</v>
      </c>
      <c r="P74" t="s">
        <v>74</v>
      </c>
      <c r="Q74" t="s">
        <v>74</v>
      </c>
      <c r="R74" t="s">
        <v>74</v>
      </c>
      <c r="S74" t="s">
        <v>74</v>
      </c>
      <c r="T74" t="s">
        <v>1243</v>
      </c>
      <c r="U74" t="s">
        <v>1244</v>
      </c>
      <c r="V74" t="s">
        <v>1245</v>
      </c>
      <c r="W74" t="s">
        <v>1246</v>
      </c>
      <c r="X74" t="s">
        <v>1247</v>
      </c>
      <c r="Y74" t="s">
        <v>1248</v>
      </c>
      <c r="Z74" t="s">
        <v>74</v>
      </c>
      <c r="AA74" t="s">
        <v>1249</v>
      </c>
      <c r="AB74" t="s">
        <v>1250</v>
      </c>
      <c r="AC74" t="s">
        <v>74</v>
      </c>
      <c r="AD74" t="s">
        <v>74</v>
      </c>
      <c r="AE74" t="s">
        <v>74</v>
      </c>
      <c r="AF74" t="s">
        <v>74</v>
      </c>
      <c r="AG74">
        <v>18</v>
      </c>
      <c r="AH74">
        <v>189</v>
      </c>
      <c r="AI74">
        <v>215</v>
      </c>
      <c r="AJ74">
        <v>2</v>
      </c>
      <c r="AK74">
        <v>41</v>
      </c>
      <c r="AL74" t="s">
        <v>194</v>
      </c>
      <c r="AM74" t="s">
        <v>1251</v>
      </c>
      <c r="AN74" t="s">
        <v>1252</v>
      </c>
      <c r="AO74" t="s">
        <v>1253</v>
      </c>
      <c r="AP74" t="s">
        <v>1254</v>
      </c>
      <c r="AQ74" t="s">
        <v>74</v>
      </c>
      <c r="AR74" t="s">
        <v>1255</v>
      </c>
      <c r="AS74" t="s">
        <v>1256</v>
      </c>
      <c r="AT74" t="s">
        <v>718</v>
      </c>
      <c r="AU74">
        <v>2002</v>
      </c>
      <c r="AV74">
        <v>7</v>
      </c>
      <c r="AW74">
        <v>2</v>
      </c>
      <c r="AX74" t="s">
        <v>74</v>
      </c>
      <c r="AY74" t="s">
        <v>74</v>
      </c>
      <c r="AZ74" t="s">
        <v>99</v>
      </c>
      <c r="BA74" t="s">
        <v>74</v>
      </c>
      <c r="BB74">
        <v>107</v>
      </c>
      <c r="BC74">
        <v>114</v>
      </c>
      <c r="BD74" t="s">
        <v>74</v>
      </c>
      <c r="BE74" t="s">
        <v>1257</v>
      </c>
      <c r="BF74" t="str">
        <f>HYPERLINK("http://dx.doi.org/10.1023/A:1015649716111","http://dx.doi.org/10.1023/A:1015649716111")</f>
        <v>http://dx.doi.org/10.1023/A:1015649716111</v>
      </c>
      <c r="BG74" t="s">
        <v>74</v>
      </c>
      <c r="BH74" t="s">
        <v>74</v>
      </c>
      <c r="BI74">
        <v>8</v>
      </c>
      <c r="BJ74" t="s">
        <v>1019</v>
      </c>
      <c r="BK74" t="s">
        <v>170</v>
      </c>
      <c r="BL74" t="s">
        <v>1020</v>
      </c>
      <c r="BM74" t="s">
        <v>1258</v>
      </c>
      <c r="BN74" t="s">
        <v>74</v>
      </c>
      <c r="BO74" t="s">
        <v>74</v>
      </c>
      <c r="BP74" t="s">
        <v>74</v>
      </c>
      <c r="BQ74" t="s">
        <v>74</v>
      </c>
      <c r="BR74" t="s">
        <v>107</v>
      </c>
      <c r="BS74" t="s">
        <v>1259</v>
      </c>
      <c r="BT74" t="str">
        <f>HYPERLINK("https%3A%2F%2Fwww.webofscience.com%2Fwos%2Fwoscc%2Ffull-record%2FWOS:000175806000007","View Full Record in Web of Science")</f>
        <v>View Full Record in Web of Science</v>
      </c>
    </row>
    <row r="75" spans="1:72" x14ac:dyDescent="0.15">
      <c r="A75" t="s">
        <v>72</v>
      </c>
      <c r="B75" t="s">
        <v>1260</v>
      </c>
      <c r="C75" t="s">
        <v>74</v>
      </c>
      <c r="D75" t="s">
        <v>74</v>
      </c>
      <c r="E75" t="s">
        <v>74</v>
      </c>
      <c r="F75" t="s">
        <v>1260</v>
      </c>
      <c r="G75" t="s">
        <v>74</v>
      </c>
      <c r="H75" t="s">
        <v>74</v>
      </c>
      <c r="I75" t="s">
        <v>1261</v>
      </c>
      <c r="J75" t="s">
        <v>1262</v>
      </c>
      <c r="K75" t="s">
        <v>74</v>
      </c>
      <c r="L75" t="s">
        <v>74</v>
      </c>
      <c r="M75" t="s">
        <v>77</v>
      </c>
      <c r="N75" t="s">
        <v>153</v>
      </c>
      <c r="O75" t="s">
        <v>74</v>
      </c>
      <c r="P75" t="s">
        <v>74</v>
      </c>
      <c r="Q75" t="s">
        <v>74</v>
      </c>
      <c r="R75" t="s">
        <v>74</v>
      </c>
      <c r="S75" t="s">
        <v>74</v>
      </c>
      <c r="T75" t="s">
        <v>1263</v>
      </c>
      <c r="U75" t="s">
        <v>1264</v>
      </c>
      <c r="V75" t="s">
        <v>1265</v>
      </c>
      <c r="W75" t="s">
        <v>1266</v>
      </c>
      <c r="X75" t="s">
        <v>1267</v>
      </c>
      <c r="Y75" t="s">
        <v>1268</v>
      </c>
      <c r="Z75" t="s">
        <v>74</v>
      </c>
      <c r="AA75" t="s">
        <v>74</v>
      </c>
      <c r="AB75" t="s">
        <v>1269</v>
      </c>
      <c r="AC75" t="s">
        <v>74</v>
      </c>
      <c r="AD75" t="s">
        <v>74</v>
      </c>
      <c r="AE75" t="s">
        <v>74</v>
      </c>
      <c r="AF75" t="s">
        <v>74</v>
      </c>
      <c r="AG75">
        <v>26</v>
      </c>
      <c r="AH75">
        <v>74</v>
      </c>
      <c r="AI75">
        <v>83</v>
      </c>
      <c r="AJ75">
        <v>3</v>
      </c>
      <c r="AK75">
        <v>31</v>
      </c>
      <c r="AL75" t="s">
        <v>132</v>
      </c>
      <c r="AM75" t="s">
        <v>91</v>
      </c>
      <c r="AN75" t="s">
        <v>133</v>
      </c>
      <c r="AO75" t="s">
        <v>1270</v>
      </c>
      <c r="AP75" t="s">
        <v>74</v>
      </c>
      <c r="AQ75" t="s">
        <v>74</v>
      </c>
      <c r="AR75" t="s">
        <v>1271</v>
      </c>
      <c r="AS75" t="s">
        <v>1272</v>
      </c>
      <c r="AT75" t="s">
        <v>718</v>
      </c>
      <c r="AU75">
        <v>2002</v>
      </c>
      <c r="AV75">
        <v>56</v>
      </c>
      <c r="AW75">
        <v>3</v>
      </c>
      <c r="AX75" t="s">
        <v>74</v>
      </c>
      <c r="AY75" t="s">
        <v>74</v>
      </c>
      <c r="AZ75" t="s">
        <v>74</v>
      </c>
      <c r="BA75" t="s">
        <v>74</v>
      </c>
      <c r="BB75">
        <v>275</v>
      </c>
      <c r="BC75">
        <v>287</v>
      </c>
      <c r="BD75" t="s">
        <v>1273</v>
      </c>
      <c r="BE75" t="s">
        <v>1274</v>
      </c>
      <c r="BF75" t="str">
        <f>HYPERLINK("http://dx.doi.org/10.1016/S0165-7836(01)00325-3","http://dx.doi.org/10.1016/S0165-7836(01)00325-3")</f>
        <v>http://dx.doi.org/10.1016/S0165-7836(01)00325-3</v>
      </c>
      <c r="BG75" t="s">
        <v>74</v>
      </c>
      <c r="BH75" t="s">
        <v>74</v>
      </c>
      <c r="BI75">
        <v>13</v>
      </c>
      <c r="BJ75" t="s">
        <v>1275</v>
      </c>
      <c r="BK75" t="s">
        <v>170</v>
      </c>
      <c r="BL75" t="s">
        <v>1275</v>
      </c>
      <c r="BM75" t="s">
        <v>1276</v>
      </c>
      <c r="BN75" t="s">
        <v>74</v>
      </c>
      <c r="BO75" t="s">
        <v>74</v>
      </c>
      <c r="BP75" t="s">
        <v>74</v>
      </c>
      <c r="BQ75" t="s">
        <v>74</v>
      </c>
      <c r="BR75" t="s">
        <v>107</v>
      </c>
      <c r="BS75" t="s">
        <v>1277</v>
      </c>
      <c r="BT75" t="str">
        <f>HYPERLINK("https%3A%2F%2Fwww.webofscience.com%2Fwos%2Fwoscc%2Ffull-record%2FWOS:000176151700004","View Full Record in Web of Science")</f>
        <v>View Full Record in Web of Science</v>
      </c>
    </row>
    <row r="76" spans="1:72" x14ac:dyDescent="0.15">
      <c r="A76" t="s">
        <v>72</v>
      </c>
      <c r="B76" t="s">
        <v>1278</v>
      </c>
      <c r="C76" t="s">
        <v>74</v>
      </c>
      <c r="D76" t="s">
        <v>74</v>
      </c>
      <c r="E76" t="s">
        <v>74</v>
      </c>
      <c r="F76" t="s">
        <v>1278</v>
      </c>
      <c r="G76" t="s">
        <v>74</v>
      </c>
      <c r="H76" t="s">
        <v>74</v>
      </c>
      <c r="I76" t="s">
        <v>1279</v>
      </c>
      <c r="J76" t="s">
        <v>1280</v>
      </c>
      <c r="K76" t="s">
        <v>74</v>
      </c>
      <c r="L76" t="s">
        <v>74</v>
      </c>
      <c r="M76" t="s">
        <v>77</v>
      </c>
      <c r="N76" t="s">
        <v>153</v>
      </c>
      <c r="O76" t="s">
        <v>74</v>
      </c>
      <c r="P76" t="s">
        <v>74</v>
      </c>
      <c r="Q76" t="s">
        <v>74</v>
      </c>
      <c r="R76" t="s">
        <v>74</v>
      </c>
      <c r="S76" t="s">
        <v>74</v>
      </c>
      <c r="T76" t="s">
        <v>1281</v>
      </c>
      <c r="U76" t="s">
        <v>74</v>
      </c>
      <c r="V76" t="s">
        <v>1282</v>
      </c>
      <c r="W76" t="s">
        <v>1283</v>
      </c>
      <c r="X76" t="s">
        <v>1284</v>
      </c>
      <c r="Y76" t="s">
        <v>1285</v>
      </c>
      <c r="Z76" t="s">
        <v>74</v>
      </c>
      <c r="AA76" t="s">
        <v>74</v>
      </c>
      <c r="AB76" t="s">
        <v>74</v>
      </c>
      <c r="AC76" t="s">
        <v>74</v>
      </c>
      <c r="AD76" t="s">
        <v>74</v>
      </c>
      <c r="AE76" t="s">
        <v>74</v>
      </c>
      <c r="AF76" t="s">
        <v>74</v>
      </c>
      <c r="AG76">
        <v>38</v>
      </c>
      <c r="AH76">
        <v>17</v>
      </c>
      <c r="AI76">
        <v>19</v>
      </c>
      <c r="AJ76">
        <v>0</v>
      </c>
      <c r="AK76">
        <v>9</v>
      </c>
      <c r="AL76" t="s">
        <v>1286</v>
      </c>
      <c r="AM76" t="s">
        <v>1287</v>
      </c>
      <c r="AN76" t="s">
        <v>1288</v>
      </c>
      <c r="AO76" t="s">
        <v>1289</v>
      </c>
      <c r="AP76" t="s">
        <v>74</v>
      </c>
      <c r="AQ76" t="s">
        <v>74</v>
      </c>
      <c r="AR76" t="s">
        <v>1290</v>
      </c>
      <c r="AS76" t="s">
        <v>1291</v>
      </c>
      <c r="AT76" t="s">
        <v>718</v>
      </c>
      <c r="AU76">
        <v>2002</v>
      </c>
      <c r="AV76">
        <v>68</v>
      </c>
      <c r="AW76">
        <v>3</v>
      </c>
      <c r="AX76" t="s">
        <v>74</v>
      </c>
      <c r="AY76" t="s">
        <v>74</v>
      </c>
      <c r="AZ76" t="s">
        <v>74</v>
      </c>
      <c r="BA76" t="s">
        <v>74</v>
      </c>
      <c r="BB76">
        <v>672</v>
      </c>
      <c r="BC76">
        <v>679</v>
      </c>
      <c r="BD76" t="s">
        <v>74</v>
      </c>
      <c r="BE76" t="s">
        <v>1292</v>
      </c>
      <c r="BF76" t="str">
        <f>HYPERLINK("http://dx.doi.org/10.1046/j.1444-2906.2002.00476.x","http://dx.doi.org/10.1046/j.1444-2906.2002.00476.x")</f>
        <v>http://dx.doi.org/10.1046/j.1444-2906.2002.00476.x</v>
      </c>
      <c r="BG76" t="s">
        <v>74</v>
      </c>
      <c r="BH76" t="s">
        <v>74</v>
      </c>
      <c r="BI76">
        <v>8</v>
      </c>
      <c r="BJ76" t="s">
        <v>1275</v>
      </c>
      <c r="BK76" t="s">
        <v>170</v>
      </c>
      <c r="BL76" t="s">
        <v>1275</v>
      </c>
      <c r="BM76" t="s">
        <v>1293</v>
      </c>
      <c r="BN76" t="s">
        <v>74</v>
      </c>
      <c r="BO76" t="s">
        <v>173</v>
      </c>
      <c r="BP76" t="s">
        <v>74</v>
      </c>
      <c r="BQ76" t="s">
        <v>74</v>
      </c>
      <c r="BR76" t="s">
        <v>107</v>
      </c>
      <c r="BS76" t="s">
        <v>1294</v>
      </c>
      <c r="BT76" t="str">
        <f>HYPERLINK("https%3A%2F%2Fwww.webofscience.com%2Fwos%2Fwoscc%2Ffull-record%2FWOS:000176695800028","View Full Record in Web of Science")</f>
        <v>View Full Record in Web of Science</v>
      </c>
    </row>
    <row r="77" spans="1:72" x14ac:dyDescent="0.15">
      <c r="A77" t="s">
        <v>72</v>
      </c>
      <c r="B77" t="s">
        <v>1295</v>
      </c>
      <c r="C77" t="s">
        <v>74</v>
      </c>
      <c r="D77" t="s">
        <v>74</v>
      </c>
      <c r="E77" t="s">
        <v>74</v>
      </c>
      <c r="F77" t="s">
        <v>1295</v>
      </c>
      <c r="G77" t="s">
        <v>74</v>
      </c>
      <c r="H77" t="s">
        <v>74</v>
      </c>
      <c r="I77" t="s">
        <v>1296</v>
      </c>
      <c r="J77" t="s">
        <v>1280</v>
      </c>
      <c r="K77" t="s">
        <v>74</v>
      </c>
      <c r="L77" t="s">
        <v>74</v>
      </c>
      <c r="M77" t="s">
        <v>77</v>
      </c>
      <c r="N77" t="s">
        <v>153</v>
      </c>
      <c r="O77" t="s">
        <v>74</v>
      </c>
      <c r="P77" t="s">
        <v>74</v>
      </c>
      <c r="Q77" t="s">
        <v>74</v>
      </c>
      <c r="R77" t="s">
        <v>74</v>
      </c>
      <c r="S77" t="s">
        <v>74</v>
      </c>
      <c r="T77" t="s">
        <v>1297</v>
      </c>
      <c r="U77" t="s">
        <v>1298</v>
      </c>
      <c r="V77" t="s">
        <v>74</v>
      </c>
      <c r="W77" t="s">
        <v>1299</v>
      </c>
      <c r="X77" t="s">
        <v>1300</v>
      </c>
      <c r="Y77" t="s">
        <v>1301</v>
      </c>
      <c r="Z77" t="s">
        <v>74</v>
      </c>
      <c r="AA77" t="s">
        <v>74</v>
      </c>
      <c r="AB77" t="s">
        <v>74</v>
      </c>
      <c r="AC77" t="s">
        <v>74</v>
      </c>
      <c r="AD77" t="s">
        <v>74</v>
      </c>
      <c r="AE77" t="s">
        <v>74</v>
      </c>
      <c r="AF77" t="s">
        <v>74</v>
      </c>
      <c r="AG77">
        <v>14</v>
      </c>
      <c r="AH77">
        <v>8</v>
      </c>
      <c r="AI77">
        <v>8</v>
      </c>
      <c r="AJ77">
        <v>0</v>
      </c>
      <c r="AK77">
        <v>8</v>
      </c>
      <c r="AL77" t="s">
        <v>1286</v>
      </c>
      <c r="AM77" t="s">
        <v>1287</v>
      </c>
      <c r="AN77" t="s">
        <v>1288</v>
      </c>
      <c r="AO77" t="s">
        <v>1289</v>
      </c>
      <c r="AP77" t="s">
        <v>74</v>
      </c>
      <c r="AQ77" t="s">
        <v>74</v>
      </c>
      <c r="AR77" t="s">
        <v>1290</v>
      </c>
      <c r="AS77" t="s">
        <v>1291</v>
      </c>
      <c r="AT77" t="s">
        <v>718</v>
      </c>
      <c r="AU77">
        <v>2002</v>
      </c>
      <c r="AV77">
        <v>68</v>
      </c>
      <c r="AW77">
        <v>3</v>
      </c>
      <c r="AX77" t="s">
        <v>74</v>
      </c>
      <c r="AY77" t="s">
        <v>74</v>
      </c>
      <c r="AZ77" t="s">
        <v>74</v>
      </c>
      <c r="BA77" t="s">
        <v>74</v>
      </c>
      <c r="BB77">
        <v>703</v>
      </c>
      <c r="BC77">
        <v>705</v>
      </c>
      <c r="BD77" t="s">
        <v>74</v>
      </c>
      <c r="BE77" t="s">
        <v>1302</v>
      </c>
      <c r="BF77" t="str">
        <f>HYPERLINK("http://dx.doi.org/10.1046/j.1444-2906.2002.00481.x","http://dx.doi.org/10.1046/j.1444-2906.2002.00481.x")</f>
        <v>http://dx.doi.org/10.1046/j.1444-2906.2002.00481.x</v>
      </c>
      <c r="BG77" t="s">
        <v>74</v>
      </c>
      <c r="BH77" t="s">
        <v>74</v>
      </c>
      <c r="BI77">
        <v>3</v>
      </c>
      <c r="BJ77" t="s">
        <v>1275</v>
      </c>
      <c r="BK77" t="s">
        <v>170</v>
      </c>
      <c r="BL77" t="s">
        <v>1275</v>
      </c>
      <c r="BM77" t="s">
        <v>1293</v>
      </c>
      <c r="BN77" t="s">
        <v>74</v>
      </c>
      <c r="BO77" t="s">
        <v>173</v>
      </c>
      <c r="BP77" t="s">
        <v>74</v>
      </c>
      <c r="BQ77" t="s">
        <v>74</v>
      </c>
      <c r="BR77" t="s">
        <v>107</v>
      </c>
      <c r="BS77" t="s">
        <v>1303</v>
      </c>
      <c r="BT77" t="str">
        <f>HYPERLINK("https%3A%2F%2Fwww.webofscience.com%2Fwos%2Fwoscc%2Ffull-record%2FWOS:000176695800034","View Full Record in Web of Science")</f>
        <v>View Full Record in Web of Science</v>
      </c>
    </row>
    <row r="78" spans="1:72" x14ac:dyDescent="0.15">
      <c r="A78" t="s">
        <v>72</v>
      </c>
      <c r="B78" t="s">
        <v>1304</v>
      </c>
      <c r="C78" t="s">
        <v>74</v>
      </c>
      <c r="D78" t="s">
        <v>74</v>
      </c>
      <c r="E78" t="s">
        <v>74</v>
      </c>
      <c r="F78" t="s">
        <v>1304</v>
      </c>
      <c r="G78" t="s">
        <v>74</v>
      </c>
      <c r="H78" t="s">
        <v>74</v>
      </c>
      <c r="I78" t="s">
        <v>1305</v>
      </c>
      <c r="J78" t="s">
        <v>1306</v>
      </c>
      <c r="K78" t="s">
        <v>74</v>
      </c>
      <c r="L78" t="s">
        <v>74</v>
      </c>
      <c r="M78" t="s">
        <v>77</v>
      </c>
      <c r="N78" t="s">
        <v>153</v>
      </c>
      <c r="O78" t="s">
        <v>74</v>
      </c>
      <c r="P78" t="s">
        <v>74</v>
      </c>
      <c r="Q78" t="s">
        <v>74</v>
      </c>
      <c r="R78" t="s">
        <v>74</v>
      </c>
      <c r="S78" t="s">
        <v>74</v>
      </c>
      <c r="T78" t="s">
        <v>74</v>
      </c>
      <c r="U78" t="s">
        <v>1307</v>
      </c>
      <c r="V78" t="s">
        <v>1308</v>
      </c>
      <c r="W78" t="s">
        <v>1309</v>
      </c>
      <c r="X78" t="s">
        <v>1310</v>
      </c>
      <c r="Y78" t="s">
        <v>1311</v>
      </c>
      <c r="Z78" t="s">
        <v>74</v>
      </c>
      <c r="AA78" t="s">
        <v>1312</v>
      </c>
      <c r="AB78" t="s">
        <v>74</v>
      </c>
      <c r="AC78" t="s">
        <v>74</v>
      </c>
      <c r="AD78" t="s">
        <v>74</v>
      </c>
      <c r="AE78" t="s">
        <v>74</v>
      </c>
      <c r="AF78" t="s">
        <v>74</v>
      </c>
      <c r="AG78">
        <v>56</v>
      </c>
      <c r="AH78">
        <v>5</v>
      </c>
      <c r="AI78">
        <v>5</v>
      </c>
      <c r="AJ78">
        <v>0</v>
      </c>
      <c r="AK78">
        <v>2</v>
      </c>
      <c r="AL78" t="s">
        <v>1179</v>
      </c>
      <c r="AM78" t="s">
        <v>1180</v>
      </c>
      <c r="AN78" t="s">
        <v>1181</v>
      </c>
      <c r="AO78" t="s">
        <v>1313</v>
      </c>
      <c r="AP78" t="s">
        <v>74</v>
      </c>
      <c r="AQ78" t="s">
        <v>74</v>
      </c>
      <c r="AR78" t="s">
        <v>1314</v>
      </c>
      <c r="AS78" t="s">
        <v>1315</v>
      </c>
      <c r="AT78" t="s">
        <v>718</v>
      </c>
      <c r="AU78">
        <v>2002</v>
      </c>
      <c r="AV78">
        <v>40</v>
      </c>
      <c r="AW78">
        <v>6</v>
      </c>
      <c r="AX78" t="s">
        <v>74</v>
      </c>
      <c r="AY78" t="s">
        <v>74</v>
      </c>
      <c r="AZ78" t="s">
        <v>74</v>
      </c>
      <c r="BA78" t="s">
        <v>74</v>
      </c>
      <c r="BB78">
        <v>551</v>
      </c>
      <c r="BC78">
        <v>563</v>
      </c>
      <c r="BD78" t="s">
        <v>74</v>
      </c>
      <c r="BE78" t="s">
        <v>74</v>
      </c>
      <c r="BF78" t="s">
        <v>74</v>
      </c>
      <c r="BG78" t="s">
        <v>74</v>
      </c>
      <c r="BH78" t="s">
        <v>74</v>
      </c>
      <c r="BI78">
        <v>13</v>
      </c>
      <c r="BJ78" t="s">
        <v>556</v>
      </c>
      <c r="BK78" t="s">
        <v>170</v>
      </c>
      <c r="BL78" t="s">
        <v>556</v>
      </c>
      <c r="BM78" t="s">
        <v>1316</v>
      </c>
      <c r="BN78" t="s">
        <v>74</v>
      </c>
      <c r="BO78" t="s">
        <v>74</v>
      </c>
      <c r="BP78" t="s">
        <v>74</v>
      </c>
      <c r="BQ78" t="s">
        <v>74</v>
      </c>
      <c r="BR78" t="s">
        <v>107</v>
      </c>
      <c r="BS78" t="s">
        <v>1317</v>
      </c>
      <c r="BT78" t="str">
        <f>HYPERLINK("https%3A%2F%2Fwww.webofscience.com%2Fwos%2Fwoscc%2Ffull-record%2FWOS:000176697900004","View Full Record in Web of Science")</f>
        <v>View Full Record in Web of Science</v>
      </c>
    </row>
    <row r="79" spans="1:72" x14ac:dyDescent="0.15">
      <c r="A79" t="s">
        <v>72</v>
      </c>
      <c r="B79" t="s">
        <v>1318</v>
      </c>
      <c r="C79" t="s">
        <v>74</v>
      </c>
      <c r="D79" t="s">
        <v>74</v>
      </c>
      <c r="E79" t="s">
        <v>74</v>
      </c>
      <c r="F79" t="s">
        <v>1318</v>
      </c>
      <c r="G79" t="s">
        <v>74</v>
      </c>
      <c r="H79" t="s">
        <v>74</v>
      </c>
      <c r="I79" t="s">
        <v>1319</v>
      </c>
      <c r="J79" t="s">
        <v>1320</v>
      </c>
      <c r="K79" t="s">
        <v>74</v>
      </c>
      <c r="L79" t="s">
        <v>74</v>
      </c>
      <c r="M79" t="s">
        <v>77</v>
      </c>
      <c r="N79" t="s">
        <v>153</v>
      </c>
      <c r="O79" t="s">
        <v>74</v>
      </c>
      <c r="P79" t="s">
        <v>74</v>
      </c>
      <c r="Q79" t="s">
        <v>74</v>
      </c>
      <c r="R79" t="s">
        <v>74</v>
      </c>
      <c r="S79" t="s">
        <v>74</v>
      </c>
      <c r="T79" t="s">
        <v>1321</v>
      </c>
      <c r="U79" t="s">
        <v>1322</v>
      </c>
      <c r="V79" t="s">
        <v>1323</v>
      </c>
      <c r="W79" t="s">
        <v>1324</v>
      </c>
      <c r="X79" t="s">
        <v>1325</v>
      </c>
      <c r="Y79" t="s">
        <v>1326</v>
      </c>
      <c r="Z79" t="s">
        <v>74</v>
      </c>
      <c r="AA79" t="s">
        <v>1327</v>
      </c>
      <c r="AB79" t="s">
        <v>1328</v>
      </c>
      <c r="AC79" t="s">
        <v>74</v>
      </c>
      <c r="AD79" t="s">
        <v>74</v>
      </c>
      <c r="AE79" t="s">
        <v>74</v>
      </c>
      <c r="AF79" t="s">
        <v>74</v>
      </c>
      <c r="AG79">
        <v>38</v>
      </c>
      <c r="AH79">
        <v>53</v>
      </c>
      <c r="AI79">
        <v>53</v>
      </c>
      <c r="AJ79">
        <v>0</v>
      </c>
      <c r="AK79">
        <v>15</v>
      </c>
      <c r="AL79" t="s">
        <v>1329</v>
      </c>
      <c r="AM79" t="s">
        <v>1330</v>
      </c>
      <c r="AN79" t="s">
        <v>1331</v>
      </c>
      <c r="AO79" t="s">
        <v>1332</v>
      </c>
      <c r="AP79" t="s">
        <v>74</v>
      </c>
      <c r="AQ79" t="s">
        <v>74</v>
      </c>
      <c r="AR79" t="s">
        <v>1333</v>
      </c>
      <c r="AS79" t="s">
        <v>1334</v>
      </c>
      <c r="AT79" t="s">
        <v>718</v>
      </c>
      <c r="AU79">
        <v>2002</v>
      </c>
      <c r="AV79">
        <v>114</v>
      </c>
      <c r="AW79">
        <v>6</v>
      </c>
      <c r="AX79" t="s">
        <v>74</v>
      </c>
      <c r="AY79" t="s">
        <v>74</v>
      </c>
      <c r="AZ79" t="s">
        <v>74</v>
      </c>
      <c r="BA79" t="s">
        <v>74</v>
      </c>
      <c r="BB79">
        <v>665</v>
      </c>
      <c r="BC79">
        <v>674</v>
      </c>
      <c r="BD79" t="s">
        <v>74</v>
      </c>
      <c r="BE79" t="s">
        <v>1335</v>
      </c>
      <c r="BF79" t="str">
        <f>HYPERLINK("http://dx.doi.org/10.1130/0016-7606(2002)114&lt;0665:MTSHOT&gt;2.0.CO;2","http://dx.doi.org/10.1130/0016-7606(2002)114&lt;0665:MTSHOT&gt;2.0.CO;2")</f>
        <v>http://dx.doi.org/10.1130/0016-7606(2002)114&lt;0665:MTSHOT&gt;2.0.CO;2</v>
      </c>
      <c r="BG79" t="s">
        <v>74</v>
      </c>
      <c r="BH79" t="s">
        <v>74</v>
      </c>
      <c r="BI79">
        <v>10</v>
      </c>
      <c r="BJ79" t="s">
        <v>608</v>
      </c>
      <c r="BK79" t="s">
        <v>170</v>
      </c>
      <c r="BL79" t="s">
        <v>439</v>
      </c>
      <c r="BM79" t="s">
        <v>1336</v>
      </c>
      <c r="BN79" t="s">
        <v>74</v>
      </c>
      <c r="BO79" t="s">
        <v>74</v>
      </c>
      <c r="BP79" t="s">
        <v>74</v>
      </c>
      <c r="BQ79" t="s">
        <v>74</v>
      </c>
      <c r="BR79" t="s">
        <v>107</v>
      </c>
      <c r="BS79" t="s">
        <v>1337</v>
      </c>
      <c r="BT79" t="str">
        <f>HYPERLINK("https%3A%2F%2Fwww.webofscience.com%2Fwos%2Fwoscc%2Ffull-record%2FWOS:000176134500003","View Full Record in Web of Science")</f>
        <v>View Full Record in Web of Science</v>
      </c>
    </row>
    <row r="80" spans="1:72" x14ac:dyDescent="0.15">
      <c r="A80" t="s">
        <v>72</v>
      </c>
      <c r="B80" t="s">
        <v>1338</v>
      </c>
      <c r="C80" t="s">
        <v>74</v>
      </c>
      <c r="D80" t="s">
        <v>74</v>
      </c>
      <c r="E80" t="s">
        <v>74</v>
      </c>
      <c r="F80" t="s">
        <v>1338</v>
      </c>
      <c r="G80" t="s">
        <v>74</v>
      </c>
      <c r="H80" t="s">
        <v>74</v>
      </c>
      <c r="I80" t="s">
        <v>1339</v>
      </c>
      <c r="J80" t="s">
        <v>1340</v>
      </c>
      <c r="K80" t="s">
        <v>74</v>
      </c>
      <c r="L80" t="s">
        <v>74</v>
      </c>
      <c r="M80" t="s">
        <v>77</v>
      </c>
      <c r="N80" t="s">
        <v>153</v>
      </c>
      <c r="O80" t="s">
        <v>74</v>
      </c>
      <c r="P80" t="s">
        <v>74</v>
      </c>
      <c r="Q80" t="s">
        <v>74</v>
      </c>
      <c r="R80" t="s">
        <v>74</v>
      </c>
      <c r="S80" t="s">
        <v>74</v>
      </c>
      <c r="T80" t="s">
        <v>1341</v>
      </c>
      <c r="U80" t="s">
        <v>1342</v>
      </c>
      <c r="V80" t="s">
        <v>1343</v>
      </c>
      <c r="W80" t="s">
        <v>1344</v>
      </c>
      <c r="X80" t="s">
        <v>1345</v>
      </c>
      <c r="Y80" t="s">
        <v>1346</v>
      </c>
      <c r="Z80" t="s">
        <v>74</v>
      </c>
      <c r="AA80" t="s">
        <v>1347</v>
      </c>
      <c r="AB80" t="s">
        <v>1348</v>
      </c>
      <c r="AC80" t="s">
        <v>74</v>
      </c>
      <c r="AD80" t="s">
        <v>74</v>
      </c>
      <c r="AE80" t="s">
        <v>74</v>
      </c>
      <c r="AF80" t="s">
        <v>74</v>
      </c>
      <c r="AG80">
        <v>23</v>
      </c>
      <c r="AH80">
        <v>21</v>
      </c>
      <c r="AI80">
        <v>22</v>
      </c>
      <c r="AJ80">
        <v>1</v>
      </c>
      <c r="AK80">
        <v>8</v>
      </c>
      <c r="AL80" t="s">
        <v>1349</v>
      </c>
      <c r="AM80" t="s">
        <v>1350</v>
      </c>
      <c r="AN80" t="s">
        <v>1351</v>
      </c>
      <c r="AO80" t="s">
        <v>1352</v>
      </c>
      <c r="AP80" t="s">
        <v>74</v>
      </c>
      <c r="AQ80" t="s">
        <v>74</v>
      </c>
      <c r="AR80" t="s">
        <v>1340</v>
      </c>
      <c r="AS80" t="s">
        <v>439</v>
      </c>
      <c r="AT80" t="s">
        <v>718</v>
      </c>
      <c r="AU80">
        <v>2002</v>
      </c>
      <c r="AV80">
        <v>30</v>
      </c>
      <c r="AW80">
        <v>6</v>
      </c>
      <c r="AX80" t="s">
        <v>74</v>
      </c>
      <c r="AY80" t="s">
        <v>74</v>
      </c>
      <c r="AZ80" t="s">
        <v>74</v>
      </c>
      <c r="BA80" t="s">
        <v>74</v>
      </c>
      <c r="BB80">
        <v>487</v>
      </c>
      <c r="BC80">
        <v>490</v>
      </c>
      <c r="BD80" t="s">
        <v>74</v>
      </c>
      <c r="BE80" t="s">
        <v>1353</v>
      </c>
      <c r="BF80" t="str">
        <f>HYPERLINK("http://dx.doi.org/10.1130/0091-7613(2002)030&lt;0487:MDEUTD&gt;2.0.CO;2","http://dx.doi.org/10.1130/0091-7613(2002)030&lt;0487:MDEUTD&gt;2.0.CO;2")</f>
        <v>http://dx.doi.org/10.1130/0091-7613(2002)030&lt;0487:MDEUTD&gt;2.0.CO;2</v>
      </c>
      <c r="BG80" t="s">
        <v>74</v>
      </c>
      <c r="BH80" t="s">
        <v>74</v>
      </c>
      <c r="BI80">
        <v>4</v>
      </c>
      <c r="BJ80" t="s">
        <v>439</v>
      </c>
      <c r="BK80" t="s">
        <v>170</v>
      </c>
      <c r="BL80" t="s">
        <v>439</v>
      </c>
      <c r="BM80" t="s">
        <v>1354</v>
      </c>
      <c r="BN80" t="s">
        <v>74</v>
      </c>
      <c r="BO80" t="s">
        <v>74</v>
      </c>
      <c r="BP80" t="s">
        <v>74</v>
      </c>
      <c r="BQ80" t="s">
        <v>74</v>
      </c>
      <c r="BR80" t="s">
        <v>107</v>
      </c>
      <c r="BS80" t="s">
        <v>1355</v>
      </c>
      <c r="BT80" t="str">
        <f>HYPERLINK("https%3A%2F%2Fwww.webofscience.com%2Fwos%2Fwoscc%2Ffull-record%2FWOS:000176152100001","View Full Record in Web of Science")</f>
        <v>View Full Record in Web of Science</v>
      </c>
    </row>
    <row r="81" spans="1:72" x14ac:dyDescent="0.15">
      <c r="A81" t="s">
        <v>72</v>
      </c>
      <c r="B81" t="s">
        <v>1356</v>
      </c>
      <c r="C81" t="s">
        <v>74</v>
      </c>
      <c r="D81" t="s">
        <v>74</v>
      </c>
      <c r="E81" t="s">
        <v>74</v>
      </c>
      <c r="F81" t="s">
        <v>1356</v>
      </c>
      <c r="G81" t="s">
        <v>74</v>
      </c>
      <c r="H81" t="s">
        <v>74</v>
      </c>
      <c r="I81" t="s">
        <v>1357</v>
      </c>
      <c r="J81" t="s">
        <v>1358</v>
      </c>
      <c r="K81" t="s">
        <v>74</v>
      </c>
      <c r="L81" t="s">
        <v>74</v>
      </c>
      <c r="M81" t="s">
        <v>77</v>
      </c>
      <c r="N81" t="s">
        <v>78</v>
      </c>
      <c r="O81" t="s">
        <v>1359</v>
      </c>
      <c r="P81">
        <v>1999</v>
      </c>
      <c r="Q81" t="s">
        <v>1360</v>
      </c>
      <c r="R81" t="s">
        <v>74</v>
      </c>
      <c r="S81" t="s">
        <v>74</v>
      </c>
      <c r="T81" t="s">
        <v>1361</v>
      </c>
      <c r="U81" t="s">
        <v>1362</v>
      </c>
      <c r="V81" t="s">
        <v>1363</v>
      </c>
      <c r="W81" t="s">
        <v>1364</v>
      </c>
      <c r="X81" t="s">
        <v>1365</v>
      </c>
      <c r="Y81" t="s">
        <v>1366</v>
      </c>
      <c r="Z81" t="s">
        <v>1367</v>
      </c>
      <c r="AA81" t="s">
        <v>1368</v>
      </c>
      <c r="AB81" t="s">
        <v>1369</v>
      </c>
      <c r="AC81" t="s">
        <v>74</v>
      </c>
      <c r="AD81" t="s">
        <v>74</v>
      </c>
      <c r="AE81" t="s">
        <v>74</v>
      </c>
      <c r="AF81" t="s">
        <v>74</v>
      </c>
      <c r="AG81">
        <v>43</v>
      </c>
      <c r="AH81">
        <v>29</v>
      </c>
      <c r="AI81">
        <v>30</v>
      </c>
      <c r="AJ81">
        <v>0</v>
      </c>
      <c r="AK81">
        <v>8</v>
      </c>
      <c r="AL81" t="s">
        <v>132</v>
      </c>
      <c r="AM81" t="s">
        <v>91</v>
      </c>
      <c r="AN81" t="s">
        <v>133</v>
      </c>
      <c r="AO81" t="s">
        <v>1370</v>
      </c>
      <c r="AP81" t="s">
        <v>74</v>
      </c>
      <c r="AQ81" t="s">
        <v>74</v>
      </c>
      <c r="AR81" t="s">
        <v>1371</v>
      </c>
      <c r="AS81" t="s">
        <v>1372</v>
      </c>
      <c r="AT81" t="s">
        <v>718</v>
      </c>
      <c r="AU81">
        <v>2002</v>
      </c>
      <c r="AV81">
        <v>33</v>
      </c>
      <c r="AW81" t="s">
        <v>98</v>
      </c>
      <c r="AX81" t="s">
        <v>74</v>
      </c>
      <c r="AY81" t="s">
        <v>74</v>
      </c>
      <c r="AZ81" t="s">
        <v>74</v>
      </c>
      <c r="BA81" t="s">
        <v>74</v>
      </c>
      <c r="BB81">
        <v>139</v>
      </c>
      <c r="BC81">
        <v>153</v>
      </c>
      <c r="BD81" t="s">
        <v>1373</v>
      </c>
      <c r="BE81" t="s">
        <v>1374</v>
      </c>
      <c r="BF81" t="str">
        <f>HYPERLINK("http://dx.doi.org/10.1016/S0921-8181(02)00067-X","http://dx.doi.org/10.1016/S0921-8181(02)00067-X")</f>
        <v>http://dx.doi.org/10.1016/S0921-8181(02)00067-X</v>
      </c>
      <c r="BG81" t="s">
        <v>74</v>
      </c>
      <c r="BH81" t="s">
        <v>74</v>
      </c>
      <c r="BI81">
        <v>15</v>
      </c>
      <c r="BJ81" t="s">
        <v>1218</v>
      </c>
      <c r="BK81" t="s">
        <v>103</v>
      </c>
      <c r="BL81" t="s">
        <v>224</v>
      </c>
      <c r="BM81" t="s">
        <v>1375</v>
      </c>
      <c r="BN81" t="s">
        <v>74</v>
      </c>
      <c r="BO81" t="s">
        <v>74</v>
      </c>
      <c r="BP81" t="s">
        <v>74</v>
      </c>
      <c r="BQ81" t="s">
        <v>74</v>
      </c>
      <c r="BR81" t="s">
        <v>107</v>
      </c>
      <c r="BS81" t="s">
        <v>1376</v>
      </c>
      <c r="BT81" t="str">
        <f>HYPERLINK("https%3A%2F%2Fwww.webofscience.com%2Fwos%2Fwoscc%2Ffull-record%2FWOS:000176800800012","View Full Record in Web of Science")</f>
        <v>View Full Record in Web of Science</v>
      </c>
    </row>
    <row r="82" spans="1:72" x14ac:dyDescent="0.15">
      <c r="A82" t="s">
        <v>72</v>
      </c>
      <c r="B82" t="s">
        <v>1377</v>
      </c>
      <c r="C82" t="s">
        <v>74</v>
      </c>
      <c r="D82" t="s">
        <v>74</v>
      </c>
      <c r="E82" t="s">
        <v>74</v>
      </c>
      <c r="F82" t="s">
        <v>1377</v>
      </c>
      <c r="G82" t="s">
        <v>74</v>
      </c>
      <c r="H82" t="s">
        <v>74</v>
      </c>
      <c r="I82" t="s">
        <v>1378</v>
      </c>
      <c r="J82" t="s">
        <v>1379</v>
      </c>
      <c r="K82" t="s">
        <v>74</v>
      </c>
      <c r="L82" t="s">
        <v>74</v>
      </c>
      <c r="M82" t="s">
        <v>77</v>
      </c>
      <c r="N82" t="s">
        <v>153</v>
      </c>
      <c r="O82" t="s">
        <v>74</v>
      </c>
      <c r="P82" t="s">
        <v>74</v>
      </c>
      <c r="Q82" t="s">
        <v>74</v>
      </c>
      <c r="R82" t="s">
        <v>74</v>
      </c>
      <c r="S82" t="s">
        <v>74</v>
      </c>
      <c r="T82" t="s">
        <v>1380</v>
      </c>
      <c r="U82" t="s">
        <v>1381</v>
      </c>
      <c r="V82" t="s">
        <v>1382</v>
      </c>
      <c r="W82" t="s">
        <v>1383</v>
      </c>
      <c r="X82" t="s">
        <v>1384</v>
      </c>
      <c r="Y82" t="s">
        <v>1385</v>
      </c>
      <c r="Z82" t="s">
        <v>1386</v>
      </c>
      <c r="AA82" t="s">
        <v>74</v>
      </c>
      <c r="AB82" t="s">
        <v>74</v>
      </c>
      <c r="AC82" t="s">
        <v>74</v>
      </c>
      <c r="AD82" t="s">
        <v>74</v>
      </c>
      <c r="AE82" t="s">
        <v>74</v>
      </c>
      <c r="AF82" t="s">
        <v>74</v>
      </c>
      <c r="AG82">
        <v>69</v>
      </c>
      <c r="AH82">
        <v>14</v>
      </c>
      <c r="AI82">
        <v>14</v>
      </c>
      <c r="AJ82">
        <v>0</v>
      </c>
      <c r="AK82">
        <v>9</v>
      </c>
      <c r="AL82" t="s">
        <v>1387</v>
      </c>
      <c r="AM82" t="s">
        <v>1127</v>
      </c>
      <c r="AN82" t="s">
        <v>1388</v>
      </c>
      <c r="AO82" t="s">
        <v>1389</v>
      </c>
      <c r="AP82" t="s">
        <v>1390</v>
      </c>
      <c r="AQ82" t="s">
        <v>74</v>
      </c>
      <c r="AR82" t="s">
        <v>1391</v>
      </c>
      <c r="AS82" t="s">
        <v>1392</v>
      </c>
      <c r="AT82" t="s">
        <v>718</v>
      </c>
      <c r="AU82">
        <v>2002</v>
      </c>
      <c r="AV82">
        <v>56</v>
      </c>
      <c r="AW82">
        <v>2</v>
      </c>
      <c r="AX82" t="s">
        <v>74</v>
      </c>
      <c r="AY82" t="s">
        <v>74</v>
      </c>
      <c r="AZ82" t="s">
        <v>74</v>
      </c>
      <c r="BA82" t="s">
        <v>74</v>
      </c>
      <c r="BB82">
        <v>112</v>
      </c>
      <c r="BC82">
        <v>124</v>
      </c>
      <c r="BD82" t="s">
        <v>74</v>
      </c>
      <c r="BE82" t="s">
        <v>1393</v>
      </c>
      <c r="BF82" t="str">
        <f>HYPERLINK("http://dx.doi.org/10.1007/s10152-002-0104-4","http://dx.doi.org/10.1007/s10152-002-0104-4")</f>
        <v>http://dx.doi.org/10.1007/s10152-002-0104-4</v>
      </c>
      <c r="BG82" t="s">
        <v>74</v>
      </c>
      <c r="BH82" t="s">
        <v>74</v>
      </c>
      <c r="BI82">
        <v>13</v>
      </c>
      <c r="BJ82" t="s">
        <v>1394</v>
      </c>
      <c r="BK82" t="s">
        <v>170</v>
      </c>
      <c r="BL82" t="s">
        <v>1394</v>
      </c>
      <c r="BM82" t="s">
        <v>1395</v>
      </c>
      <c r="BN82" t="s">
        <v>74</v>
      </c>
      <c r="BO82" t="s">
        <v>173</v>
      </c>
      <c r="BP82" t="s">
        <v>74</v>
      </c>
      <c r="BQ82" t="s">
        <v>74</v>
      </c>
      <c r="BR82" t="s">
        <v>107</v>
      </c>
      <c r="BS82" t="s">
        <v>1396</v>
      </c>
      <c r="BT82" t="str">
        <f>HYPERLINK("https%3A%2F%2Fwww.webofscience.com%2Fwos%2Fwoscc%2Ffull-record%2FWOS:000176838700004","View Full Record in Web of Science")</f>
        <v>View Full Record in Web of Science</v>
      </c>
    </row>
    <row r="83" spans="1:72" x14ac:dyDescent="0.15">
      <c r="A83" t="s">
        <v>72</v>
      </c>
      <c r="B83" t="s">
        <v>1397</v>
      </c>
      <c r="C83" t="s">
        <v>74</v>
      </c>
      <c r="D83" t="s">
        <v>74</v>
      </c>
      <c r="E83" t="s">
        <v>74</v>
      </c>
      <c r="F83" t="s">
        <v>1397</v>
      </c>
      <c r="G83" t="s">
        <v>74</v>
      </c>
      <c r="H83" t="s">
        <v>74</v>
      </c>
      <c r="I83" t="s">
        <v>1398</v>
      </c>
      <c r="J83" t="s">
        <v>1379</v>
      </c>
      <c r="K83" t="s">
        <v>74</v>
      </c>
      <c r="L83" t="s">
        <v>74</v>
      </c>
      <c r="M83" t="s">
        <v>77</v>
      </c>
      <c r="N83" t="s">
        <v>153</v>
      </c>
      <c r="O83" t="s">
        <v>74</v>
      </c>
      <c r="P83" t="s">
        <v>74</v>
      </c>
      <c r="Q83" t="s">
        <v>74</v>
      </c>
      <c r="R83" t="s">
        <v>74</v>
      </c>
      <c r="S83" t="s">
        <v>74</v>
      </c>
      <c r="T83" t="s">
        <v>1399</v>
      </c>
      <c r="U83" t="s">
        <v>74</v>
      </c>
      <c r="V83" t="s">
        <v>1400</v>
      </c>
      <c r="W83" t="s">
        <v>1401</v>
      </c>
      <c r="X83" t="s">
        <v>1402</v>
      </c>
      <c r="Y83" t="s">
        <v>1403</v>
      </c>
      <c r="Z83" t="s">
        <v>74</v>
      </c>
      <c r="AA83" t="s">
        <v>74</v>
      </c>
      <c r="AB83" t="s">
        <v>1404</v>
      </c>
      <c r="AC83" t="s">
        <v>74</v>
      </c>
      <c r="AD83" t="s">
        <v>74</v>
      </c>
      <c r="AE83" t="s">
        <v>74</v>
      </c>
      <c r="AF83" t="s">
        <v>74</v>
      </c>
      <c r="AG83">
        <v>28</v>
      </c>
      <c r="AH83">
        <v>8</v>
      </c>
      <c r="AI83">
        <v>12</v>
      </c>
      <c r="AJ83">
        <v>0</v>
      </c>
      <c r="AK83">
        <v>8</v>
      </c>
      <c r="AL83" t="s">
        <v>290</v>
      </c>
      <c r="AM83" t="s">
        <v>195</v>
      </c>
      <c r="AN83" t="s">
        <v>291</v>
      </c>
      <c r="AO83" t="s">
        <v>1389</v>
      </c>
      <c r="AP83" t="s">
        <v>74</v>
      </c>
      <c r="AQ83" t="s">
        <v>74</v>
      </c>
      <c r="AR83" t="s">
        <v>1391</v>
      </c>
      <c r="AS83" t="s">
        <v>1392</v>
      </c>
      <c r="AT83" t="s">
        <v>718</v>
      </c>
      <c r="AU83">
        <v>2002</v>
      </c>
      <c r="AV83">
        <v>56</v>
      </c>
      <c r="AW83">
        <v>2</v>
      </c>
      <c r="AX83" t="s">
        <v>74</v>
      </c>
      <c r="AY83" t="s">
        <v>74</v>
      </c>
      <c r="AZ83" t="s">
        <v>74</v>
      </c>
      <c r="BA83" t="s">
        <v>74</v>
      </c>
      <c r="BB83">
        <v>134</v>
      </c>
      <c r="BC83">
        <v>139</v>
      </c>
      <c r="BD83" t="s">
        <v>74</v>
      </c>
      <c r="BE83" t="s">
        <v>1405</v>
      </c>
      <c r="BF83" t="str">
        <f>HYPERLINK("http://dx.doi.org/10.1007/s10152-002-0103-5","http://dx.doi.org/10.1007/s10152-002-0103-5")</f>
        <v>http://dx.doi.org/10.1007/s10152-002-0103-5</v>
      </c>
      <c r="BG83" t="s">
        <v>74</v>
      </c>
      <c r="BH83" t="s">
        <v>74</v>
      </c>
      <c r="BI83">
        <v>6</v>
      </c>
      <c r="BJ83" t="s">
        <v>1394</v>
      </c>
      <c r="BK83" t="s">
        <v>170</v>
      </c>
      <c r="BL83" t="s">
        <v>1394</v>
      </c>
      <c r="BM83" t="s">
        <v>1395</v>
      </c>
      <c r="BN83" t="s">
        <v>74</v>
      </c>
      <c r="BO83" t="s">
        <v>173</v>
      </c>
      <c r="BP83" t="s">
        <v>74</v>
      </c>
      <c r="BQ83" t="s">
        <v>74</v>
      </c>
      <c r="BR83" t="s">
        <v>107</v>
      </c>
      <c r="BS83" t="s">
        <v>1406</v>
      </c>
      <c r="BT83" t="str">
        <f>HYPERLINK("https%3A%2F%2Fwww.webofscience.com%2Fwos%2Fwoscc%2Ffull-record%2FWOS:000176838700006","View Full Record in Web of Science")</f>
        <v>View Full Record in Web of Science</v>
      </c>
    </row>
    <row r="84" spans="1:72" x14ac:dyDescent="0.15">
      <c r="A84" t="s">
        <v>72</v>
      </c>
      <c r="B84" t="s">
        <v>1407</v>
      </c>
      <c r="C84" t="s">
        <v>74</v>
      </c>
      <c r="D84" t="s">
        <v>74</v>
      </c>
      <c r="E84" t="s">
        <v>74</v>
      </c>
      <c r="F84" t="s">
        <v>1407</v>
      </c>
      <c r="G84" t="s">
        <v>74</v>
      </c>
      <c r="H84" t="s">
        <v>74</v>
      </c>
      <c r="I84" t="s">
        <v>1408</v>
      </c>
      <c r="J84" t="s">
        <v>1409</v>
      </c>
      <c r="K84" t="s">
        <v>74</v>
      </c>
      <c r="L84" t="s">
        <v>74</v>
      </c>
      <c r="M84" t="s">
        <v>77</v>
      </c>
      <c r="N84" t="s">
        <v>153</v>
      </c>
      <c r="O84" t="s">
        <v>74</v>
      </c>
      <c r="P84" t="s">
        <v>74</v>
      </c>
      <c r="Q84" t="s">
        <v>74</v>
      </c>
      <c r="R84" t="s">
        <v>74</v>
      </c>
      <c r="S84" t="s">
        <v>74</v>
      </c>
      <c r="T84" t="s">
        <v>1410</v>
      </c>
      <c r="U84" t="s">
        <v>1411</v>
      </c>
      <c r="V84" t="s">
        <v>1412</v>
      </c>
      <c r="W84" t="s">
        <v>1413</v>
      </c>
      <c r="X84" t="s">
        <v>1414</v>
      </c>
      <c r="Y84" t="s">
        <v>1415</v>
      </c>
      <c r="Z84" t="s">
        <v>74</v>
      </c>
      <c r="AA84" t="s">
        <v>1416</v>
      </c>
      <c r="AB84" t="s">
        <v>1417</v>
      </c>
      <c r="AC84" t="s">
        <v>74</v>
      </c>
      <c r="AD84" t="s">
        <v>74</v>
      </c>
      <c r="AE84" t="s">
        <v>74</v>
      </c>
      <c r="AF84" t="s">
        <v>74</v>
      </c>
      <c r="AG84">
        <v>10</v>
      </c>
      <c r="AH84">
        <v>40</v>
      </c>
      <c r="AI84">
        <v>44</v>
      </c>
      <c r="AJ84">
        <v>1</v>
      </c>
      <c r="AK84">
        <v>5</v>
      </c>
      <c r="AL84" t="s">
        <v>1418</v>
      </c>
      <c r="AM84" t="s">
        <v>195</v>
      </c>
      <c r="AN84" t="s">
        <v>1419</v>
      </c>
      <c r="AO84" t="s">
        <v>1420</v>
      </c>
      <c r="AP84" t="s">
        <v>74</v>
      </c>
      <c r="AQ84" t="s">
        <v>74</v>
      </c>
      <c r="AR84" t="s">
        <v>1421</v>
      </c>
      <c r="AS84" t="s">
        <v>1422</v>
      </c>
      <c r="AT84" t="s">
        <v>718</v>
      </c>
      <c r="AU84">
        <v>2002</v>
      </c>
      <c r="AV84">
        <v>40</v>
      </c>
      <c r="AW84">
        <v>6</v>
      </c>
      <c r="AX84" t="s">
        <v>74</v>
      </c>
      <c r="AY84" t="s">
        <v>74</v>
      </c>
      <c r="AZ84" t="s">
        <v>74</v>
      </c>
      <c r="BA84" t="s">
        <v>74</v>
      </c>
      <c r="BB84">
        <v>1241</v>
      </c>
      <c r="BC84">
        <v>1246</v>
      </c>
      <c r="BD84" t="s">
        <v>74</v>
      </c>
      <c r="BE84" t="s">
        <v>1423</v>
      </c>
      <c r="BF84" t="str">
        <f>HYPERLINK("http://dx.doi.org/10.1109/TGRS.2002.800442","http://dx.doi.org/10.1109/TGRS.2002.800442")</f>
        <v>http://dx.doi.org/10.1109/TGRS.2002.800442</v>
      </c>
      <c r="BG84" t="s">
        <v>74</v>
      </c>
      <c r="BH84" t="s">
        <v>74</v>
      </c>
      <c r="BI84">
        <v>6</v>
      </c>
      <c r="BJ84" t="s">
        <v>1424</v>
      </c>
      <c r="BK84" t="s">
        <v>170</v>
      </c>
      <c r="BL84" t="s">
        <v>1425</v>
      </c>
      <c r="BM84" t="s">
        <v>1426</v>
      </c>
      <c r="BN84" t="s">
        <v>74</v>
      </c>
      <c r="BO84" t="s">
        <v>106</v>
      </c>
      <c r="BP84" t="s">
        <v>74</v>
      </c>
      <c r="BQ84" t="s">
        <v>74</v>
      </c>
      <c r="BR84" t="s">
        <v>107</v>
      </c>
      <c r="BS84" t="s">
        <v>1427</v>
      </c>
      <c r="BT84" t="str">
        <f>HYPERLINK("https%3A%2F%2Fwww.webofscience.com%2Fwos%2Fwoscc%2Ffull-record%2FWOS:000177114500005","View Full Record in Web of Science")</f>
        <v>View Full Record in Web of Science</v>
      </c>
    </row>
    <row r="85" spans="1:72" x14ac:dyDescent="0.15">
      <c r="A85" t="s">
        <v>72</v>
      </c>
      <c r="B85" t="s">
        <v>1428</v>
      </c>
      <c r="C85" t="s">
        <v>74</v>
      </c>
      <c r="D85" t="s">
        <v>74</v>
      </c>
      <c r="E85" t="s">
        <v>74</v>
      </c>
      <c r="F85" t="s">
        <v>1428</v>
      </c>
      <c r="G85" t="s">
        <v>74</v>
      </c>
      <c r="H85" t="s">
        <v>74</v>
      </c>
      <c r="I85" t="s">
        <v>1429</v>
      </c>
      <c r="J85" t="s">
        <v>1430</v>
      </c>
      <c r="K85" t="s">
        <v>74</v>
      </c>
      <c r="L85" t="s">
        <v>74</v>
      </c>
      <c r="M85" t="s">
        <v>77</v>
      </c>
      <c r="N85" t="s">
        <v>153</v>
      </c>
      <c r="O85" t="s">
        <v>74</v>
      </c>
      <c r="P85" t="s">
        <v>74</v>
      </c>
      <c r="Q85" t="s">
        <v>74</v>
      </c>
      <c r="R85" t="s">
        <v>74</v>
      </c>
      <c r="S85" t="s">
        <v>74</v>
      </c>
      <c r="T85" t="s">
        <v>74</v>
      </c>
      <c r="U85" t="s">
        <v>1431</v>
      </c>
      <c r="V85" t="s">
        <v>1432</v>
      </c>
      <c r="W85" t="s">
        <v>1433</v>
      </c>
      <c r="X85" t="s">
        <v>1434</v>
      </c>
      <c r="Y85" t="s">
        <v>1435</v>
      </c>
      <c r="Z85" t="s">
        <v>1436</v>
      </c>
      <c r="AA85" t="s">
        <v>1437</v>
      </c>
      <c r="AB85" t="s">
        <v>1438</v>
      </c>
      <c r="AC85" t="s">
        <v>74</v>
      </c>
      <c r="AD85" t="s">
        <v>74</v>
      </c>
      <c r="AE85" t="s">
        <v>74</v>
      </c>
      <c r="AF85" t="s">
        <v>74</v>
      </c>
      <c r="AG85">
        <v>36</v>
      </c>
      <c r="AH85">
        <v>13</v>
      </c>
      <c r="AI85">
        <v>16</v>
      </c>
      <c r="AJ85">
        <v>0</v>
      </c>
      <c r="AK85">
        <v>2</v>
      </c>
      <c r="AL85" t="s">
        <v>1439</v>
      </c>
      <c r="AM85" t="s">
        <v>1440</v>
      </c>
      <c r="AN85" t="s">
        <v>1441</v>
      </c>
      <c r="AO85" t="s">
        <v>1442</v>
      </c>
      <c r="AP85" t="s">
        <v>1443</v>
      </c>
      <c r="AQ85" t="s">
        <v>74</v>
      </c>
      <c r="AR85" t="s">
        <v>1444</v>
      </c>
      <c r="AS85" t="s">
        <v>1445</v>
      </c>
      <c r="AT85" t="s">
        <v>718</v>
      </c>
      <c r="AU85">
        <v>2002</v>
      </c>
      <c r="AV85">
        <v>15</v>
      </c>
      <c r="AW85">
        <v>12</v>
      </c>
      <c r="AX85" t="s">
        <v>74</v>
      </c>
      <c r="AY85" t="s">
        <v>74</v>
      </c>
      <c r="AZ85" t="s">
        <v>74</v>
      </c>
      <c r="BA85" t="s">
        <v>74</v>
      </c>
      <c r="BB85">
        <v>1447</v>
      </c>
      <c r="BC85">
        <v>1459</v>
      </c>
      <c r="BD85" t="s">
        <v>74</v>
      </c>
      <c r="BE85" t="s">
        <v>1446</v>
      </c>
      <c r="BF85" t="str">
        <f>HYPERLINK("http://dx.doi.org/10.1175/1520-0442(2002)015&lt;1447:PIIAEP&gt;2.0.CO;2","http://dx.doi.org/10.1175/1520-0442(2002)015&lt;1447:PIIAEP&gt;2.0.CO;2")</f>
        <v>http://dx.doi.org/10.1175/1520-0442(2002)015&lt;1447:PIIAEP&gt;2.0.CO;2</v>
      </c>
      <c r="BG85" t="s">
        <v>74</v>
      </c>
      <c r="BH85" t="s">
        <v>74</v>
      </c>
      <c r="BI85">
        <v>13</v>
      </c>
      <c r="BJ85" t="s">
        <v>403</v>
      </c>
      <c r="BK85" t="s">
        <v>170</v>
      </c>
      <c r="BL85" t="s">
        <v>403</v>
      </c>
      <c r="BM85" t="s">
        <v>1447</v>
      </c>
      <c r="BN85" t="s">
        <v>74</v>
      </c>
      <c r="BO85" t="s">
        <v>173</v>
      </c>
      <c r="BP85" t="s">
        <v>74</v>
      </c>
      <c r="BQ85" t="s">
        <v>74</v>
      </c>
      <c r="BR85" t="s">
        <v>107</v>
      </c>
      <c r="BS85" t="s">
        <v>1448</v>
      </c>
      <c r="BT85" t="str">
        <f>HYPERLINK("https%3A%2F%2Fwww.webofscience.com%2Fwos%2Fwoscc%2Ffull-record%2FWOS:000175638500005","View Full Record in Web of Science")</f>
        <v>View Full Record in Web of Science</v>
      </c>
    </row>
    <row r="86" spans="1:72" x14ac:dyDescent="0.15">
      <c r="A86" t="s">
        <v>72</v>
      </c>
      <c r="B86" t="s">
        <v>1449</v>
      </c>
      <c r="C86" t="s">
        <v>74</v>
      </c>
      <c r="D86" t="s">
        <v>74</v>
      </c>
      <c r="E86" t="s">
        <v>74</v>
      </c>
      <c r="F86" t="s">
        <v>1449</v>
      </c>
      <c r="G86" t="s">
        <v>74</v>
      </c>
      <c r="H86" t="s">
        <v>74</v>
      </c>
      <c r="I86" t="s">
        <v>1450</v>
      </c>
      <c r="J86" t="s">
        <v>1451</v>
      </c>
      <c r="K86" t="s">
        <v>74</v>
      </c>
      <c r="L86" t="s">
        <v>74</v>
      </c>
      <c r="M86" t="s">
        <v>77</v>
      </c>
      <c r="N86" t="s">
        <v>153</v>
      </c>
      <c r="O86" t="s">
        <v>74</v>
      </c>
      <c r="P86" t="s">
        <v>74</v>
      </c>
      <c r="Q86" t="s">
        <v>74</v>
      </c>
      <c r="R86" t="s">
        <v>74</v>
      </c>
      <c r="S86" t="s">
        <v>74</v>
      </c>
      <c r="T86" t="s">
        <v>1452</v>
      </c>
      <c r="U86" t="s">
        <v>1453</v>
      </c>
      <c r="V86" t="s">
        <v>1454</v>
      </c>
      <c r="W86" t="s">
        <v>1455</v>
      </c>
      <c r="X86" t="s">
        <v>1456</v>
      </c>
      <c r="Y86" t="s">
        <v>1457</v>
      </c>
      <c r="Z86" t="s">
        <v>74</v>
      </c>
      <c r="AA86" t="s">
        <v>1458</v>
      </c>
      <c r="AB86" t="s">
        <v>1459</v>
      </c>
      <c r="AC86" t="s">
        <v>74</v>
      </c>
      <c r="AD86" t="s">
        <v>74</v>
      </c>
      <c r="AE86" t="s">
        <v>74</v>
      </c>
      <c r="AF86" t="s">
        <v>74</v>
      </c>
      <c r="AG86">
        <v>48</v>
      </c>
      <c r="AH86">
        <v>33</v>
      </c>
      <c r="AI86">
        <v>34</v>
      </c>
      <c r="AJ86">
        <v>0</v>
      </c>
      <c r="AK86">
        <v>5</v>
      </c>
      <c r="AL86" t="s">
        <v>1460</v>
      </c>
      <c r="AM86" t="s">
        <v>1127</v>
      </c>
      <c r="AN86" t="s">
        <v>1461</v>
      </c>
      <c r="AO86" t="s">
        <v>1462</v>
      </c>
      <c r="AP86" t="s">
        <v>74</v>
      </c>
      <c r="AQ86" t="s">
        <v>74</v>
      </c>
      <c r="AR86" t="s">
        <v>1463</v>
      </c>
      <c r="AS86" t="s">
        <v>1464</v>
      </c>
      <c r="AT86" t="s">
        <v>718</v>
      </c>
      <c r="AU86">
        <v>2002</v>
      </c>
      <c r="AV86">
        <v>60</v>
      </c>
      <c r="AW86">
        <v>6</v>
      </c>
      <c r="AX86" t="s">
        <v>74</v>
      </c>
      <c r="AY86" t="s">
        <v>74</v>
      </c>
      <c r="AZ86" t="s">
        <v>74</v>
      </c>
      <c r="BA86" t="s">
        <v>74</v>
      </c>
      <c r="BB86">
        <v>1475</v>
      </c>
      <c r="BC86">
        <v>1485</v>
      </c>
      <c r="BD86" t="s">
        <v>74</v>
      </c>
      <c r="BE86" t="s">
        <v>1465</v>
      </c>
      <c r="BF86" t="str">
        <f>HYPERLINK("http://dx.doi.org/10.1006/jfbi.2002.2007","http://dx.doi.org/10.1006/jfbi.2002.2007")</f>
        <v>http://dx.doi.org/10.1006/jfbi.2002.2007</v>
      </c>
      <c r="BG86" t="s">
        <v>74</v>
      </c>
      <c r="BH86" t="s">
        <v>74</v>
      </c>
      <c r="BI86">
        <v>11</v>
      </c>
      <c r="BJ86" t="s">
        <v>1466</v>
      </c>
      <c r="BK86" t="s">
        <v>170</v>
      </c>
      <c r="BL86" t="s">
        <v>1466</v>
      </c>
      <c r="BM86" t="s">
        <v>1467</v>
      </c>
      <c r="BN86" t="s">
        <v>74</v>
      </c>
      <c r="BO86" t="s">
        <v>74</v>
      </c>
      <c r="BP86" t="s">
        <v>74</v>
      </c>
      <c r="BQ86" t="s">
        <v>74</v>
      </c>
      <c r="BR86" t="s">
        <v>107</v>
      </c>
      <c r="BS86" t="s">
        <v>1468</v>
      </c>
      <c r="BT86" t="str">
        <f>HYPERLINK("https%3A%2F%2Fwww.webofscience.com%2Fwos%2Fwoscc%2Ffull-record%2FWOS:000178406000010","View Full Record in Web of Science")</f>
        <v>View Full Record in Web of Science</v>
      </c>
    </row>
    <row r="87" spans="1:72" x14ac:dyDescent="0.15">
      <c r="A87" t="s">
        <v>72</v>
      </c>
      <c r="B87" t="s">
        <v>1469</v>
      </c>
      <c r="C87" t="s">
        <v>74</v>
      </c>
      <c r="D87" t="s">
        <v>74</v>
      </c>
      <c r="E87" t="s">
        <v>74</v>
      </c>
      <c r="F87" t="s">
        <v>1469</v>
      </c>
      <c r="G87" t="s">
        <v>74</v>
      </c>
      <c r="H87" t="s">
        <v>74</v>
      </c>
      <c r="I87" t="s">
        <v>1470</v>
      </c>
      <c r="J87" t="s">
        <v>1471</v>
      </c>
      <c r="K87" t="s">
        <v>74</v>
      </c>
      <c r="L87" t="s">
        <v>74</v>
      </c>
      <c r="M87" t="s">
        <v>77</v>
      </c>
      <c r="N87" t="s">
        <v>153</v>
      </c>
      <c r="O87" t="s">
        <v>74</v>
      </c>
      <c r="P87" t="s">
        <v>74</v>
      </c>
      <c r="Q87" t="s">
        <v>74</v>
      </c>
      <c r="R87" t="s">
        <v>74</v>
      </c>
      <c r="S87" t="s">
        <v>74</v>
      </c>
      <c r="T87" t="s">
        <v>1472</v>
      </c>
      <c r="U87" t="s">
        <v>1473</v>
      </c>
      <c r="V87" t="s">
        <v>1474</v>
      </c>
      <c r="W87" t="s">
        <v>1475</v>
      </c>
      <c r="X87" t="s">
        <v>1476</v>
      </c>
      <c r="Y87" t="s">
        <v>1477</v>
      </c>
      <c r="Z87" t="s">
        <v>74</v>
      </c>
      <c r="AA87" t="s">
        <v>74</v>
      </c>
      <c r="AB87" t="s">
        <v>1478</v>
      </c>
      <c r="AC87" t="s">
        <v>74</v>
      </c>
      <c r="AD87" t="s">
        <v>74</v>
      </c>
      <c r="AE87" t="s">
        <v>74</v>
      </c>
      <c r="AF87" t="s">
        <v>74</v>
      </c>
      <c r="AG87">
        <v>48</v>
      </c>
      <c r="AH87">
        <v>35</v>
      </c>
      <c r="AI87">
        <v>36</v>
      </c>
      <c r="AJ87">
        <v>1</v>
      </c>
      <c r="AK87">
        <v>6</v>
      </c>
      <c r="AL87" t="s">
        <v>161</v>
      </c>
      <c r="AM87" t="s">
        <v>162</v>
      </c>
      <c r="AN87" t="s">
        <v>163</v>
      </c>
      <c r="AO87" t="s">
        <v>1479</v>
      </c>
      <c r="AP87" t="s">
        <v>74</v>
      </c>
      <c r="AQ87" t="s">
        <v>74</v>
      </c>
      <c r="AR87" t="s">
        <v>1480</v>
      </c>
      <c r="AS87" t="s">
        <v>1481</v>
      </c>
      <c r="AT87" t="s">
        <v>718</v>
      </c>
      <c r="AU87">
        <v>2002</v>
      </c>
      <c r="AV87">
        <v>107</v>
      </c>
      <c r="AW87" t="s">
        <v>1482</v>
      </c>
      <c r="AX87" t="s">
        <v>74</v>
      </c>
      <c r="AY87" t="s">
        <v>74</v>
      </c>
      <c r="AZ87" t="s">
        <v>74</v>
      </c>
      <c r="BA87" t="s">
        <v>74</v>
      </c>
      <c r="BB87" t="s">
        <v>74</v>
      </c>
      <c r="BC87" t="s">
        <v>74</v>
      </c>
      <c r="BD87">
        <v>4110</v>
      </c>
      <c r="BE87" t="s">
        <v>1483</v>
      </c>
      <c r="BF87" t="str">
        <f>HYPERLINK("http://dx.doi.org/10.1029/2001JD000538","http://dx.doi.org/10.1029/2001JD000538")</f>
        <v>http://dx.doi.org/10.1029/2001JD000538</v>
      </c>
      <c r="BG87" t="s">
        <v>74</v>
      </c>
      <c r="BH87" t="s">
        <v>74</v>
      </c>
      <c r="BI87">
        <v>16</v>
      </c>
      <c r="BJ87" t="s">
        <v>403</v>
      </c>
      <c r="BK87" t="s">
        <v>170</v>
      </c>
      <c r="BL87" t="s">
        <v>403</v>
      </c>
      <c r="BM87" t="s">
        <v>1484</v>
      </c>
      <c r="BN87" t="s">
        <v>74</v>
      </c>
      <c r="BO87" t="s">
        <v>74</v>
      </c>
      <c r="BP87" t="s">
        <v>74</v>
      </c>
      <c r="BQ87" t="s">
        <v>74</v>
      </c>
      <c r="BR87" t="s">
        <v>107</v>
      </c>
      <c r="BS87" t="s">
        <v>1485</v>
      </c>
      <c r="BT87" t="str">
        <f>HYPERLINK("https%3A%2F%2Fwww.webofscience.com%2Fwos%2Fwoscc%2Ffull-record%2FWOS:000178897700023","View Full Record in Web of Science")</f>
        <v>View Full Record in Web of Science</v>
      </c>
    </row>
    <row r="88" spans="1:72" x14ac:dyDescent="0.15">
      <c r="A88" t="s">
        <v>72</v>
      </c>
      <c r="B88" t="s">
        <v>1486</v>
      </c>
      <c r="C88" t="s">
        <v>74</v>
      </c>
      <c r="D88" t="s">
        <v>74</v>
      </c>
      <c r="E88" t="s">
        <v>74</v>
      </c>
      <c r="F88" t="s">
        <v>1486</v>
      </c>
      <c r="G88" t="s">
        <v>74</v>
      </c>
      <c r="H88" t="s">
        <v>74</v>
      </c>
      <c r="I88" t="s">
        <v>1487</v>
      </c>
      <c r="J88" t="s">
        <v>1471</v>
      </c>
      <c r="K88" t="s">
        <v>74</v>
      </c>
      <c r="L88" t="s">
        <v>74</v>
      </c>
      <c r="M88" t="s">
        <v>77</v>
      </c>
      <c r="N88" t="s">
        <v>153</v>
      </c>
      <c r="O88" t="s">
        <v>74</v>
      </c>
      <c r="P88" t="s">
        <v>74</v>
      </c>
      <c r="Q88" t="s">
        <v>74</v>
      </c>
      <c r="R88" t="s">
        <v>74</v>
      </c>
      <c r="S88" t="s">
        <v>74</v>
      </c>
      <c r="T88" t="s">
        <v>1488</v>
      </c>
      <c r="U88" t="s">
        <v>1489</v>
      </c>
      <c r="V88" t="s">
        <v>1490</v>
      </c>
      <c r="W88" t="s">
        <v>914</v>
      </c>
      <c r="X88" t="s">
        <v>915</v>
      </c>
      <c r="Y88" t="s">
        <v>1491</v>
      </c>
      <c r="Z88" t="s">
        <v>74</v>
      </c>
      <c r="AA88" t="s">
        <v>1492</v>
      </c>
      <c r="AB88" t="s">
        <v>1493</v>
      </c>
      <c r="AC88" t="s">
        <v>74</v>
      </c>
      <c r="AD88" t="s">
        <v>74</v>
      </c>
      <c r="AE88" t="s">
        <v>74</v>
      </c>
      <c r="AF88" t="s">
        <v>74</v>
      </c>
      <c r="AG88">
        <v>43</v>
      </c>
      <c r="AH88">
        <v>7</v>
      </c>
      <c r="AI88">
        <v>7</v>
      </c>
      <c r="AJ88">
        <v>0</v>
      </c>
      <c r="AK88">
        <v>0</v>
      </c>
      <c r="AL88" t="s">
        <v>161</v>
      </c>
      <c r="AM88" t="s">
        <v>162</v>
      </c>
      <c r="AN88" t="s">
        <v>163</v>
      </c>
      <c r="AO88" t="s">
        <v>1479</v>
      </c>
      <c r="AP88" t="s">
        <v>74</v>
      </c>
      <c r="AQ88" t="s">
        <v>74</v>
      </c>
      <c r="AR88" t="s">
        <v>1480</v>
      </c>
      <c r="AS88" t="s">
        <v>1481</v>
      </c>
      <c r="AT88" t="s">
        <v>718</v>
      </c>
      <c r="AU88">
        <v>2002</v>
      </c>
      <c r="AV88">
        <v>107</v>
      </c>
      <c r="AW88" t="s">
        <v>1482</v>
      </c>
      <c r="AX88" t="s">
        <v>74</v>
      </c>
      <c r="AY88" t="s">
        <v>74</v>
      </c>
      <c r="AZ88" t="s">
        <v>74</v>
      </c>
      <c r="BA88" t="s">
        <v>74</v>
      </c>
      <c r="BB88" t="s">
        <v>74</v>
      </c>
      <c r="BC88" t="s">
        <v>74</v>
      </c>
      <c r="BD88">
        <v>4132</v>
      </c>
      <c r="BE88" t="s">
        <v>1494</v>
      </c>
      <c r="BF88" t="str">
        <f>HYPERLINK("http://dx.doi.org/10.1029/2001JD000508","http://dx.doi.org/10.1029/2001JD000508")</f>
        <v>http://dx.doi.org/10.1029/2001JD000508</v>
      </c>
      <c r="BG88" t="s">
        <v>74</v>
      </c>
      <c r="BH88" t="s">
        <v>74</v>
      </c>
      <c r="BI88">
        <v>8</v>
      </c>
      <c r="BJ88" t="s">
        <v>403</v>
      </c>
      <c r="BK88" t="s">
        <v>170</v>
      </c>
      <c r="BL88" t="s">
        <v>403</v>
      </c>
      <c r="BM88" t="s">
        <v>1484</v>
      </c>
      <c r="BN88" t="s">
        <v>74</v>
      </c>
      <c r="BO88" t="s">
        <v>1495</v>
      </c>
      <c r="BP88" t="s">
        <v>74</v>
      </c>
      <c r="BQ88" t="s">
        <v>74</v>
      </c>
      <c r="BR88" t="s">
        <v>107</v>
      </c>
      <c r="BS88" t="s">
        <v>1496</v>
      </c>
      <c r="BT88" t="str">
        <f>HYPERLINK("https%3A%2F%2Fwww.webofscience.com%2Fwos%2Fwoscc%2Ffull-record%2FWOS:000178897700001","View Full Record in Web of Science")</f>
        <v>View Full Record in Web of Science</v>
      </c>
    </row>
    <row r="89" spans="1:72" x14ac:dyDescent="0.15">
      <c r="A89" t="s">
        <v>72</v>
      </c>
      <c r="B89" t="s">
        <v>1497</v>
      </c>
      <c r="C89" t="s">
        <v>74</v>
      </c>
      <c r="D89" t="s">
        <v>74</v>
      </c>
      <c r="E89" t="s">
        <v>74</v>
      </c>
      <c r="F89" t="s">
        <v>1497</v>
      </c>
      <c r="G89" t="s">
        <v>74</v>
      </c>
      <c r="H89" t="s">
        <v>74</v>
      </c>
      <c r="I89" t="s">
        <v>1498</v>
      </c>
      <c r="J89" t="s">
        <v>1471</v>
      </c>
      <c r="K89" t="s">
        <v>74</v>
      </c>
      <c r="L89" t="s">
        <v>74</v>
      </c>
      <c r="M89" t="s">
        <v>77</v>
      </c>
      <c r="N89" t="s">
        <v>153</v>
      </c>
      <c r="O89" t="s">
        <v>74</v>
      </c>
      <c r="P89" t="s">
        <v>74</v>
      </c>
      <c r="Q89" t="s">
        <v>74</v>
      </c>
      <c r="R89" t="s">
        <v>74</v>
      </c>
      <c r="S89" t="s">
        <v>74</v>
      </c>
      <c r="T89" t="s">
        <v>1499</v>
      </c>
      <c r="U89" t="s">
        <v>1500</v>
      </c>
      <c r="V89" t="s">
        <v>1501</v>
      </c>
      <c r="W89" t="s">
        <v>1502</v>
      </c>
      <c r="X89" t="s">
        <v>1503</v>
      </c>
      <c r="Y89" t="s">
        <v>1504</v>
      </c>
      <c r="Z89" t="s">
        <v>74</v>
      </c>
      <c r="AA89" t="s">
        <v>74</v>
      </c>
      <c r="AB89" t="s">
        <v>74</v>
      </c>
      <c r="AC89" t="s">
        <v>74</v>
      </c>
      <c r="AD89" t="s">
        <v>74</v>
      </c>
      <c r="AE89" t="s">
        <v>74</v>
      </c>
      <c r="AF89" t="s">
        <v>74</v>
      </c>
      <c r="AG89">
        <v>51</v>
      </c>
      <c r="AH89">
        <v>16</v>
      </c>
      <c r="AI89">
        <v>17</v>
      </c>
      <c r="AJ89">
        <v>0</v>
      </c>
      <c r="AK89">
        <v>5</v>
      </c>
      <c r="AL89" t="s">
        <v>161</v>
      </c>
      <c r="AM89" t="s">
        <v>162</v>
      </c>
      <c r="AN89" t="s">
        <v>163</v>
      </c>
      <c r="AO89" t="s">
        <v>1479</v>
      </c>
      <c r="AP89" t="s">
        <v>74</v>
      </c>
      <c r="AQ89" t="s">
        <v>74</v>
      </c>
      <c r="AR89" t="s">
        <v>1480</v>
      </c>
      <c r="AS89" t="s">
        <v>1481</v>
      </c>
      <c r="AT89" t="s">
        <v>718</v>
      </c>
      <c r="AU89">
        <v>2002</v>
      </c>
      <c r="AV89">
        <v>107</v>
      </c>
      <c r="AW89" t="s">
        <v>1482</v>
      </c>
      <c r="AX89" t="s">
        <v>74</v>
      </c>
      <c r="AY89" t="s">
        <v>74</v>
      </c>
      <c r="AZ89" t="s">
        <v>74</v>
      </c>
      <c r="BA89" t="s">
        <v>74</v>
      </c>
      <c r="BB89" t="s">
        <v>74</v>
      </c>
      <c r="BC89" t="s">
        <v>74</v>
      </c>
      <c r="BD89">
        <v>4124</v>
      </c>
      <c r="BE89" t="s">
        <v>1505</v>
      </c>
      <c r="BF89" t="str">
        <f>HYPERLINK("http://dx.doi.org/10.1029/2000JD000274","http://dx.doi.org/10.1029/2000JD000274")</f>
        <v>http://dx.doi.org/10.1029/2000JD000274</v>
      </c>
      <c r="BG89" t="s">
        <v>74</v>
      </c>
      <c r="BH89" t="s">
        <v>74</v>
      </c>
      <c r="BI89">
        <v>16</v>
      </c>
      <c r="BJ89" t="s">
        <v>403</v>
      </c>
      <c r="BK89" t="s">
        <v>170</v>
      </c>
      <c r="BL89" t="s">
        <v>403</v>
      </c>
      <c r="BM89" t="s">
        <v>1484</v>
      </c>
      <c r="BN89" t="s">
        <v>74</v>
      </c>
      <c r="BO89" t="s">
        <v>74</v>
      </c>
      <c r="BP89" t="s">
        <v>74</v>
      </c>
      <c r="BQ89" t="s">
        <v>74</v>
      </c>
      <c r="BR89" t="s">
        <v>107</v>
      </c>
      <c r="BS89" t="s">
        <v>1506</v>
      </c>
      <c r="BT89" t="str">
        <f>HYPERLINK("https%3A%2F%2Fwww.webofscience.com%2Fwos%2Fwoscc%2Ffull-record%2FWOS:000178897700009","View Full Record in Web of Science")</f>
        <v>View Full Record in Web of Science</v>
      </c>
    </row>
    <row r="90" spans="1:72" x14ac:dyDescent="0.15">
      <c r="A90" t="s">
        <v>72</v>
      </c>
      <c r="B90" t="s">
        <v>1507</v>
      </c>
      <c r="C90" t="s">
        <v>74</v>
      </c>
      <c r="D90" t="s">
        <v>74</v>
      </c>
      <c r="E90" t="s">
        <v>74</v>
      </c>
      <c r="F90" t="s">
        <v>1507</v>
      </c>
      <c r="G90" t="s">
        <v>74</v>
      </c>
      <c r="H90" t="s">
        <v>74</v>
      </c>
      <c r="I90" t="s">
        <v>1508</v>
      </c>
      <c r="J90" t="s">
        <v>1471</v>
      </c>
      <c r="K90" t="s">
        <v>74</v>
      </c>
      <c r="L90" t="s">
        <v>74</v>
      </c>
      <c r="M90" t="s">
        <v>77</v>
      </c>
      <c r="N90" t="s">
        <v>153</v>
      </c>
      <c r="O90" t="s">
        <v>74</v>
      </c>
      <c r="P90" t="s">
        <v>74</v>
      </c>
      <c r="Q90" t="s">
        <v>74</v>
      </c>
      <c r="R90" t="s">
        <v>74</v>
      </c>
      <c r="S90" t="s">
        <v>74</v>
      </c>
      <c r="T90" t="s">
        <v>1509</v>
      </c>
      <c r="U90" t="s">
        <v>1510</v>
      </c>
      <c r="V90" t="s">
        <v>1511</v>
      </c>
      <c r="W90" t="s">
        <v>1512</v>
      </c>
      <c r="X90" t="s">
        <v>1513</v>
      </c>
      <c r="Y90" t="s">
        <v>1514</v>
      </c>
      <c r="Z90" t="s">
        <v>1515</v>
      </c>
      <c r="AA90" t="s">
        <v>1516</v>
      </c>
      <c r="AB90" t="s">
        <v>1517</v>
      </c>
      <c r="AC90" t="s">
        <v>74</v>
      </c>
      <c r="AD90" t="s">
        <v>74</v>
      </c>
      <c r="AE90" t="s">
        <v>74</v>
      </c>
      <c r="AF90" t="s">
        <v>74</v>
      </c>
      <c r="AG90">
        <v>95</v>
      </c>
      <c r="AH90">
        <v>50</v>
      </c>
      <c r="AI90">
        <v>53</v>
      </c>
      <c r="AJ90">
        <v>0</v>
      </c>
      <c r="AK90">
        <v>13</v>
      </c>
      <c r="AL90" t="s">
        <v>161</v>
      </c>
      <c r="AM90" t="s">
        <v>162</v>
      </c>
      <c r="AN90" t="s">
        <v>163</v>
      </c>
      <c r="AO90" t="s">
        <v>1518</v>
      </c>
      <c r="AP90" t="s">
        <v>1519</v>
      </c>
      <c r="AQ90" t="s">
        <v>74</v>
      </c>
      <c r="AR90" t="s">
        <v>1480</v>
      </c>
      <c r="AS90" t="s">
        <v>1481</v>
      </c>
      <c r="AT90" t="s">
        <v>718</v>
      </c>
      <c r="AU90">
        <v>2002</v>
      </c>
      <c r="AV90">
        <v>107</v>
      </c>
      <c r="AW90" t="s">
        <v>1482</v>
      </c>
      <c r="AX90" t="s">
        <v>74</v>
      </c>
      <c r="AY90" t="s">
        <v>74</v>
      </c>
      <c r="AZ90" t="s">
        <v>74</v>
      </c>
      <c r="BA90" t="s">
        <v>74</v>
      </c>
      <c r="BB90" t="s">
        <v>74</v>
      </c>
      <c r="BC90" t="s">
        <v>74</v>
      </c>
      <c r="BD90">
        <v>4129</v>
      </c>
      <c r="BE90" t="s">
        <v>1520</v>
      </c>
      <c r="BF90" t="str">
        <f>HYPERLINK("http://dx.doi.org/10.1029/2001JD000952","http://dx.doi.org/10.1029/2001JD000952")</f>
        <v>http://dx.doi.org/10.1029/2001JD000952</v>
      </c>
      <c r="BG90" t="s">
        <v>74</v>
      </c>
      <c r="BH90" t="s">
        <v>74</v>
      </c>
      <c r="BI90">
        <v>17</v>
      </c>
      <c r="BJ90" t="s">
        <v>403</v>
      </c>
      <c r="BK90" t="s">
        <v>170</v>
      </c>
      <c r="BL90" t="s">
        <v>403</v>
      </c>
      <c r="BM90" t="s">
        <v>1484</v>
      </c>
      <c r="BN90" t="s">
        <v>74</v>
      </c>
      <c r="BO90" t="s">
        <v>173</v>
      </c>
      <c r="BP90" t="s">
        <v>74</v>
      </c>
      <c r="BQ90" t="s">
        <v>74</v>
      </c>
      <c r="BR90" t="s">
        <v>107</v>
      </c>
      <c r="BS90" t="s">
        <v>1521</v>
      </c>
      <c r="BT90" t="str">
        <f>HYPERLINK("https%3A%2F%2Fwww.webofscience.com%2Fwos%2Fwoscc%2Ffull-record%2FWOS:000178897700004","View Full Record in Web of Science")</f>
        <v>View Full Record in Web of Science</v>
      </c>
    </row>
    <row r="91" spans="1:72" x14ac:dyDescent="0.15">
      <c r="A91" t="s">
        <v>72</v>
      </c>
      <c r="B91" t="s">
        <v>1522</v>
      </c>
      <c r="C91" t="s">
        <v>74</v>
      </c>
      <c r="D91" t="s">
        <v>74</v>
      </c>
      <c r="E91" t="s">
        <v>74</v>
      </c>
      <c r="F91" t="s">
        <v>1522</v>
      </c>
      <c r="G91" t="s">
        <v>74</v>
      </c>
      <c r="H91" t="s">
        <v>74</v>
      </c>
      <c r="I91" t="s">
        <v>1523</v>
      </c>
      <c r="J91" t="s">
        <v>1524</v>
      </c>
      <c r="K91" t="s">
        <v>74</v>
      </c>
      <c r="L91" t="s">
        <v>74</v>
      </c>
      <c r="M91" t="s">
        <v>77</v>
      </c>
      <c r="N91" t="s">
        <v>153</v>
      </c>
      <c r="O91" t="s">
        <v>74</v>
      </c>
      <c r="P91" t="s">
        <v>74</v>
      </c>
      <c r="Q91" t="s">
        <v>74</v>
      </c>
      <c r="R91" t="s">
        <v>74</v>
      </c>
      <c r="S91" t="s">
        <v>74</v>
      </c>
      <c r="T91" t="s">
        <v>1525</v>
      </c>
      <c r="U91" t="s">
        <v>1526</v>
      </c>
      <c r="V91" t="s">
        <v>1527</v>
      </c>
      <c r="W91" t="s">
        <v>1528</v>
      </c>
      <c r="X91" t="s">
        <v>1529</v>
      </c>
      <c r="Y91" t="s">
        <v>300</v>
      </c>
      <c r="Z91" t="s">
        <v>1530</v>
      </c>
      <c r="AA91" t="s">
        <v>1531</v>
      </c>
      <c r="AB91" t="s">
        <v>1532</v>
      </c>
      <c r="AC91" t="s">
        <v>74</v>
      </c>
      <c r="AD91" t="s">
        <v>74</v>
      </c>
      <c r="AE91" t="s">
        <v>74</v>
      </c>
      <c r="AF91" t="s">
        <v>74</v>
      </c>
      <c r="AG91">
        <v>54</v>
      </c>
      <c r="AH91">
        <v>77</v>
      </c>
      <c r="AI91">
        <v>85</v>
      </c>
      <c r="AJ91">
        <v>1</v>
      </c>
      <c r="AK91">
        <v>13</v>
      </c>
      <c r="AL91" t="s">
        <v>161</v>
      </c>
      <c r="AM91" t="s">
        <v>162</v>
      </c>
      <c r="AN91" t="s">
        <v>163</v>
      </c>
      <c r="AO91" t="s">
        <v>1533</v>
      </c>
      <c r="AP91" t="s">
        <v>1534</v>
      </c>
      <c r="AQ91" t="s">
        <v>74</v>
      </c>
      <c r="AR91" t="s">
        <v>1535</v>
      </c>
      <c r="AS91" t="s">
        <v>1536</v>
      </c>
      <c r="AT91" t="s">
        <v>718</v>
      </c>
      <c r="AU91">
        <v>2002</v>
      </c>
      <c r="AV91">
        <v>107</v>
      </c>
      <c r="AW91" t="s">
        <v>1537</v>
      </c>
      <c r="AX91" t="s">
        <v>74</v>
      </c>
      <c r="AY91" t="s">
        <v>74</v>
      </c>
      <c r="AZ91" t="s">
        <v>74</v>
      </c>
      <c r="BA91" t="s">
        <v>74</v>
      </c>
      <c r="BB91" t="s">
        <v>74</v>
      </c>
      <c r="BC91" t="s">
        <v>74</v>
      </c>
      <c r="BD91">
        <v>3063</v>
      </c>
      <c r="BE91" t="s">
        <v>1538</v>
      </c>
      <c r="BF91" t="str">
        <f>HYPERLINK("http://dx.doi.org/10.1029/2000JC000720","http://dx.doi.org/10.1029/2000JC000720")</f>
        <v>http://dx.doi.org/10.1029/2000JC000720</v>
      </c>
      <c r="BG91" t="s">
        <v>74</v>
      </c>
      <c r="BH91" t="s">
        <v>74</v>
      </c>
      <c r="BI91">
        <v>22</v>
      </c>
      <c r="BJ91" t="s">
        <v>1155</v>
      </c>
      <c r="BK91" t="s">
        <v>170</v>
      </c>
      <c r="BL91" t="s">
        <v>1155</v>
      </c>
      <c r="BM91" t="s">
        <v>1539</v>
      </c>
      <c r="BN91" t="s">
        <v>74</v>
      </c>
      <c r="BO91" t="s">
        <v>1540</v>
      </c>
      <c r="BP91" t="s">
        <v>74</v>
      </c>
      <c r="BQ91" t="s">
        <v>74</v>
      </c>
      <c r="BR91" t="s">
        <v>107</v>
      </c>
      <c r="BS91" t="s">
        <v>1541</v>
      </c>
      <c r="BT91" t="str">
        <f>HYPERLINK("https%3A%2F%2Fwww.webofscience.com%2Fwos%2Fwoscc%2Ffull-record%2FWOS:000178993500001","View Full Record in Web of Science")</f>
        <v>View Full Record in Web of Science</v>
      </c>
    </row>
    <row r="92" spans="1:72" x14ac:dyDescent="0.15">
      <c r="A92" t="s">
        <v>72</v>
      </c>
      <c r="B92" t="s">
        <v>1542</v>
      </c>
      <c r="C92" t="s">
        <v>74</v>
      </c>
      <c r="D92" t="s">
        <v>74</v>
      </c>
      <c r="E92" t="s">
        <v>74</v>
      </c>
      <c r="F92" t="s">
        <v>1542</v>
      </c>
      <c r="G92" t="s">
        <v>74</v>
      </c>
      <c r="H92" t="s">
        <v>74</v>
      </c>
      <c r="I92" t="s">
        <v>1543</v>
      </c>
      <c r="J92" t="s">
        <v>1544</v>
      </c>
      <c r="K92" t="s">
        <v>74</v>
      </c>
      <c r="L92" t="s">
        <v>74</v>
      </c>
      <c r="M92" t="s">
        <v>77</v>
      </c>
      <c r="N92" t="s">
        <v>153</v>
      </c>
      <c r="O92" t="s">
        <v>74</v>
      </c>
      <c r="P92" t="s">
        <v>74</v>
      </c>
      <c r="Q92" t="s">
        <v>74</v>
      </c>
      <c r="R92" t="s">
        <v>74</v>
      </c>
      <c r="S92" t="s">
        <v>74</v>
      </c>
      <c r="T92" t="s">
        <v>1545</v>
      </c>
      <c r="U92" t="s">
        <v>1546</v>
      </c>
      <c r="V92" t="s">
        <v>1547</v>
      </c>
      <c r="W92" t="s">
        <v>1548</v>
      </c>
      <c r="X92" t="s">
        <v>1549</v>
      </c>
      <c r="Y92" t="s">
        <v>1550</v>
      </c>
      <c r="Z92" t="s">
        <v>1551</v>
      </c>
      <c r="AA92" t="s">
        <v>1552</v>
      </c>
      <c r="AB92" t="s">
        <v>1553</v>
      </c>
      <c r="AC92" t="s">
        <v>74</v>
      </c>
      <c r="AD92" t="s">
        <v>74</v>
      </c>
      <c r="AE92" t="s">
        <v>74</v>
      </c>
      <c r="AF92" t="s">
        <v>74</v>
      </c>
      <c r="AG92">
        <v>82</v>
      </c>
      <c r="AH92">
        <v>12</v>
      </c>
      <c r="AI92">
        <v>13</v>
      </c>
      <c r="AJ92">
        <v>0</v>
      </c>
      <c r="AK92">
        <v>5</v>
      </c>
      <c r="AL92" t="s">
        <v>161</v>
      </c>
      <c r="AM92" t="s">
        <v>162</v>
      </c>
      <c r="AN92" t="s">
        <v>163</v>
      </c>
      <c r="AO92" t="s">
        <v>1554</v>
      </c>
      <c r="AP92" t="s">
        <v>1555</v>
      </c>
      <c r="AQ92" t="s">
        <v>74</v>
      </c>
      <c r="AR92" t="s">
        <v>1556</v>
      </c>
      <c r="AS92" t="s">
        <v>1557</v>
      </c>
      <c r="AT92" t="s">
        <v>718</v>
      </c>
      <c r="AU92">
        <v>2002</v>
      </c>
      <c r="AV92">
        <v>107</v>
      </c>
      <c r="AW92" t="s">
        <v>1558</v>
      </c>
      <c r="AX92" t="s">
        <v>74</v>
      </c>
      <c r="AY92" t="s">
        <v>74</v>
      </c>
      <c r="AZ92" t="s">
        <v>74</v>
      </c>
      <c r="BA92" t="s">
        <v>74</v>
      </c>
      <c r="BB92" t="s">
        <v>74</v>
      </c>
      <c r="BC92" t="s">
        <v>74</v>
      </c>
      <c r="BD92">
        <v>2110</v>
      </c>
      <c r="BE92" t="s">
        <v>1559</v>
      </c>
      <c r="BF92" t="str">
        <f>HYPERLINK("http://dx.doi.org/10.1029/2001JB000343","http://dx.doi.org/10.1029/2001JB000343")</f>
        <v>http://dx.doi.org/10.1029/2001JB000343</v>
      </c>
      <c r="BG92" t="s">
        <v>74</v>
      </c>
      <c r="BH92" t="s">
        <v>74</v>
      </c>
      <c r="BI92">
        <v>25</v>
      </c>
      <c r="BJ92" t="s">
        <v>556</v>
      </c>
      <c r="BK92" t="s">
        <v>170</v>
      </c>
      <c r="BL92" t="s">
        <v>556</v>
      </c>
      <c r="BM92" t="s">
        <v>1560</v>
      </c>
      <c r="BN92" t="s">
        <v>74</v>
      </c>
      <c r="BO92" t="s">
        <v>106</v>
      </c>
      <c r="BP92" t="s">
        <v>74</v>
      </c>
      <c r="BQ92" t="s">
        <v>74</v>
      </c>
      <c r="BR92" t="s">
        <v>107</v>
      </c>
      <c r="BS92" t="s">
        <v>1561</v>
      </c>
      <c r="BT92" t="str">
        <f>HYPERLINK("https%3A%2F%2Fwww.webofscience.com%2Fwos%2Fwoscc%2Ffull-record%2FWOS:000178990800018","View Full Record in Web of Science")</f>
        <v>View Full Record in Web of Science</v>
      </c>
    </row>
    <row r="93" spans="1:72" x14ac:dyDescent="0.15">
      <c r="A93" t="s">
        <v>72</v>
      </c>
      <c r="B93" t="s">
        <v>1562</v>
      </c>
      <c r="C93" t="s">
        <v>74</v>
      </c>
      <c r="D93" t="s">
        <v>74</v>
      </c>
      <c r="E93" t="s">
        <v>74</v>
      </c>
      <c r="F93" t="s">
        <v>1562</v>
      </c>
      <c r="G93" t="s">
        <v>74</v>
      </c>
      <c r="H93" t="s">
        <v>74</v>
      </c>
      <c r="I93" t="s">
        <v>1563</v>
      </c>
      <c r="J93" t="s">
        <v>1564</v>
      </c>
      <c r="K93" t="s">
        <v>74</v>
      </c>
      <c r="L93" t="s">
        <v>74</v>
      </c>
      <c r="M93" t="s">
        <v>77</v>
      </c>
      <c r="N93" t="s">
        <v>153</v>
      </c>
      <c r="O93" t="s">
        <v>74</v>
      </c>
      <c r="P93" t="s">
        <v>74</v>
      </c>
      <c r="Q93" t="s">
        <v>74</v>
      </c>
      <c r="R93" t="s">
        <v>74</v>
      </c>
      <c r="S93" t="s">
        <v>74</v>
      </c>
      <c r="T93" t="s">
        <v>1565</v>
      </c>
      <c r="U93" t="s">
        <v>1566</v>
      </c>
      <c r="V93" t="s">
        <v>1567</v>
      </c>
      <c r="W93" t="s">
        <v>1568</v>
      </c>
      <c r="X93" t="s">
        <v>1569</v>
      </c>
      <c r="Y93" t="s">
        <v>1570</v>
      </c>
      <c r="Z93" t="s">
        <v>1571</v>
      </c>
      <c r="AA93" t="s">
        <v>1572</v>
      </c>
      <c r="AB93" t="s">
        <v>74</v>
      </c>
      <c r="AC93" t="s">
        <v>74</v>
      </c>
      <c r="AD93" t="s">
        <v>74</v>
      </c>
      <c r="AE93" t="s">
        <v>74</v>
      </c>
      <c r="AF93" t="s">
        <v>74</v>
      </c>
      <c r="AG93">
        <v>18</v>
      </c>
      <c r="AH93">
        <v>70</v>
      </c>
      <c r="AI93">
        <v>85</v>
      </c>
      <c r="AJ93">
        <v>1</v>
      </c>
      <c r="AK93">
        <v>20</v>
      </c>
      <c r="AL93" t="s">
        <v>1013</v>
      </c>
      <c r="AM93" t="s">
        <v>895</v>
      </c>
      <c r="AN93" t="s">
        <v>1014</v>
      </c>
      <c r="AO93" t="s">
        <v>1573</v>
      </c>
      <c r="AP93" t="s">
        <v>1574</v>
      </c>
      <c r="AQ93" t="s">
        <v>74</v>
      </c>
      <c r="AR93" t="s">
        <v>1575</v>
      </c>
      <c r="AS93" t="s">
        <v>1576</v>
      </c>
      <c r="AT93" t="s">
        <v>718</v>
      </c>
      <c r="AU93">
        <v>2002</v>
      </c>
      <c r="AV93">
        <v>48</v>
      </c>
      <c r="AW93">
        <v>6</v>
      </c>
      <c r="AX93" t="s">
        <v>74</v>
      </c>
      <c r="AY93" t="s">
        <v>74</v>
      </c>
      <c r="AZ93" t="s">
        <v>74</v>
      </c>
      <c r="BA93" t="s">
        <v>74</v>
      </c>
      <c r="BB93">
        <v>593</v>
      </c>
      <c r="BC93">
        <v>599</v>
      </c>
      <c r="BD93" t="s">
        <v>1577</v>
      </c>
      <c r="BE93" t="s">
        <v>1578</v>
      </c>
      <c r="BF93" t="str">
        <f>HYPERLINK("http://dx.doi.org/10.1016/S0022-1910(02)00087-2","http://dx.doi.org/10.1016/S0022-1910(02)00087-2")</f>
        <v>http://dx.doi.org/10.1016/S0022-1910(02)00087-2</v>
      </c>
      <c r="BG93" t="s">
        <v>74</v>
      </c>
      <c r="BH93" t="s">
        <v>74</v>
      </c>
      <c r="BI93">
        <v>7</v>
      </c>
      <c r="BJ93" t="s">
        <v>1579</v>
      </c>
      <c r="BK93" t="s">
        <v>170</v>
      </c>
      <c r="BL93" t="s">
        <v>1579</v>
      </c>
      <c r="BM93" t="s">
        <v>1580</v>
      </c>
      <c r="BN93">
        <v>12770070</v>
      </c>
      <c r="BO93" t="s">
        <v>74</v>
      </c>
      <c r="BP93" t="s">
        <v>74</v>
      </c>
      <c r="BQ93" t="s">
        <v>74</v>
      </c>
      <c r="BR93" t="s">
        <v>107</v>
      </c>
      <c r="BS93" t="s">
        <v>1581</v>
      </c>
      <c r="BT93" t="str">
        <f>HYPERLINK("https%3A%2F%2Fwww.webofscience.com%2Fwos%2Fwoscc%2Ffull-record%2FWOS:000177593100001","View Full Record in Web of Science")</f>
        <v>View Full Record in Web of Science</v>
      </c>
    </row>
    <row r="94" spans="1:72" x14ac:dyDescent="0.15">
      <c r="A94" t="s">
        <v>72</v>
      </c>
      <c r="B94" t="s">
        <v>1582</v>
      </c>
      <c r="C94" t="s">
        <v>74</v>
      </c>
      <c r="D94" t="s">
        <v>74</v>
      </c>
      <c r="E94" t="s">
        <v>74</v>
      </c>
      <c r="F94" t="s">
        <v>1582</v>
      </c>
      <c r="G94" t="s">
        <v>74</v>
      </c>
      <c r="H94" t="s">
        <v>74</v>
      </c>
      <c r="I94" t="s">
        <v>1583</v>
      </c>
      <c r="J94" t="s">
        <v>1584</v>
      </c>
      <c r="K94" t="s">
        <v>74</v>
      </c>
      <c r="L94" t="s">
        <v>74</v>
      </c>
      <c r="M94" t="s">
        <v>77</v>
      </c>
      <c r="N94" t="s">
        <v>947</v>
      </c>
      <c r="O94" t="s">
        <v>74</v>
      </c>
      <c r="P94" t="s">
        <v>74</v>
      </c>
      <c r="Q94" t="s">
        <v>74</v>
      </c>
      <c r="R94" t="s">
        <v>74</v>
      </c>
      <c r="S94" t="s">
        <v>74</v>
      </c>
      <c r="T94" t="s">
        <v>1585</v>
      </c>
      <c r="U94" t="s">
        <v>1586</v>
      </c>
      <c r="V94" t="s">
        <v>1587</v>
      </c>
      <c r="W94" t="s">
        <v>1588</v>
      </c>
      <c r="X94" t="s">
        <v>1589</v>
      </c>
      <c r="Y94" t="s">
        <v>1590</v>
      </c>
      <c r="Z94" t="s">
        <v>1591</v>
      </c>
      <c r="AA94" t="s">
        <v>74</v>
      </c>
      <c r="AB94" t="s">
        <v>74</v>
      </c>
      <c r="AC94" t="s">
        <v>74</v>
      </c>
      <c r="AD94" t="s">
        <v>74</v>
      </c>
      <c r="AE94" t="s">
        <v>74</v>
      </c>
      <c r="AF94" t="s">
        <v>74</v>
      </c>
      <c r="AG94">
        <v>134</v>
      </c>
      <c r="AH94">
        <v>26</v>
      </c>
      <c r="AI94">
        <v>30</v>
      </c>
      <c r="AJ94">
        <v>0</v>
      </c>
      <c r="AK94">
        <v>16</v>
      </c>
      <c r="AL94" t="s">
        <v>453</v>
      </c>
      <c r="AM94" t="s">
        <v>454</v>
      </c>
      <c r="AN94" t="s">
        <v>455</v>
      </c>
      <c r="AO94" t="s">
        <v>1592</v>
      </c>
      <c r="AP94" t="s">
        <v>1593</v>
      </c>
      <c r="AQ94" t="s">
        <v>74</v>
      </c>
      <c r="AR94" t="s">
        <v>1594</v>
      </c>
      <c r="AS94" t="s">
        <v>1595</v>
      </c>
      <c r="AT94" t="s">
        <v>718</v>
      </c>
      <c r="AU94">
        <v>2002</v>
      </c>
      <c r="AV94">
        <v>36</v>
      </c>
      <c r="AW94">
        <v>8</v>
      </c>
      <c r="AX94" t="s">
        <v>74</v>
      </c>
      <c r="AY94" t="s">
        <v>74</v>
      </c>
      <c r="AZ94" t="s">
        <v>74</v>
      </c>
      <c r="BA94" t="s">
        <v>74</v>
      </c>
      <c r="BB94">
        <v>927</v>
      </c>
      <c r="BC94">
        <v>952</v>
      </c>
      <c r="BD94" t="s">
        <v>74</v>
      </c>
      <c r="BE94" t="s">
        <v>1596</v>
      </c>
      <c r="BF94" t="str">
        <f>HYPERLINK("http://dx.doi.org/10.1080/00222930110034562","http://dx.doi.org/10.1080/00222930110034562")</f>
        <v>http://dx.doi.org/10.1080/00222930110034562</v>
      </c>
      <c r="BG94" t="s">
        <v>74</v>
      </c>
      <c r="BH94" t="s">
        <v>74</v>
      </c>
      <c r="BI94">
        <v>26</v>
      </c>
      <c r="BJ94" t="s">
        <v>1597</v>
      </c>
      <c r="BK94" t="s">
        <v>170</v>
      </c>
      <c r="BL94" t="s">
        <v>1598</v>
      </c>
      <c r="BM94" t="s">
        <v>1599</v>
      </c>
      <c r="BN94" t="s">
        <v>74</v>
      </c>
      <c r="BO94" t="s">
        <v>74</v>
      </c>
      <c r="BP94" t="s">
        <v>74</v>
      </c>
      <c r="BQ94" t="s">
        <v>74</v>
      </c>
      <c r="BR94" t="s">
        <v>107</v>
      </c>
      <c r="BS94" t="s">
        <v>1600</v>
      </c>
      <c r="BT94" t="str">
        <f>HYPERLINK("https%3A%2F%2Fwww.webofscience.com%2Fwos%2Fwoscc%2Ffull-record%2FWOS:000175510200003","View Full Record in Web of Science")</f>
        <v>View Full Record in Web of Science</v>
      </c>
    </row>
    <row r="95" spans="1:72" x14ac:dyDescent="0.15">
      <c r="A95" t="s">
        <v>72</v>
      </c>
      <c r="B95" t="s">
        <v>1601</v>
      </c>
      <c r="C95" t="s">
        <v>74</v>
      </c>
      <c r="D95" t="s">
        <v>74</v>
      </c>
      <c r="E95" t="s">
        <v>74</v>
      </c>
      <c r="F95" t="s">
        <v>1601</v>
      </c>
      <c r="G95" t="s">
        <v>74</v>
      </c>
      <c r="H95" t="s">
        <v>74</v>
      </c>
      <c r="I95" t="s">
        <v>1602</v>
      </c>
      <c r="J95" t="s">
        <v>1584</v>
      </c>
      <c r="K95" t="s">
        <v>74</v>
      </c>
      <c r="L95" t="s">
        <v>74</v>
      </c>
      <c r="M95" t="s">
        <v>77</v>
      </c>
      <c r="N95" t="s">
        <v>947</v>
      </c>
      <c r="O95" t="s">
        <v>74</v>
      </c>
      <c r="P95" t="s">
        <v>74</v>
      </c>
      <c r="Q95" t="s">
        <v>74</v>
      </c>
      <c r="R95" t="s">
        <v>74</v>
      </c>
      <c r="S95" t="s">
        <v>74</v>
      </c>
      <c r="T95" t="s">
        <v>1603</v>
      </c>
      <c r="U95" t="s">
        <v>1604</v>
      </c>
      <c r="V95" t="s">
        <v>1605</v>
      </c>
      <c r="W95" t="s">
        <v>1606</v>
      </c>
      <c r="X95" t="s">
        <v>1607</v>
      </c>
      <c r="Y95" t="s">
        <v>1608</v>
      </c>
      <c r="Z95" t="s">
        <v>1591</v>
      </c>
      <c r="AA95" t="s">
        <v>1609</v>
      </c>
      <c r="AB95" t="s">
        <v>1610</v>
      </c>
      <c r="AC95" t="s">
        <v>1611</v>
      </c>
      <c r="AD95" t="s">
        <v>1612</v>
      </c>
      <c r="AE95" t="s">
        <v>74</v>
      </c>
      <c r="AF95" t="s">
        <v>74</v>
      </c>
      <c r="AG95">
        <v>231</v>
      </c>
      <c r="AH95">
        <v>69</v>
      </c>
      <c r="AI95">
        <v>79</v>
      </c>
      <c r="AJ95">
        <v>0</v>
      </c>
      <c r="AK95">
        <v>28</v>
      </c>
      <c r="AL95" t="s">
        <v>453</v>
      </c>
      <c r="AM95" t="s">
        <v>454</v>
      </c>
      <c r="AN95" t="s">
        <v>455</v>
      </c>
      <c r="AO95" t="s">
        <v>1592</v>
      </c>
      <c r="AP95" t="s">
        <v>1593</v>
      </c>
      <c r="AQ95" t="s">
        <v>74</v>
      </c>
      <c r="AR95" t="s">
        <v>1594</v>
      </c>
      <c r="AS95" t="s">
        <v>1595</v>
      </c>
      <c r="AT95" t="s">
        <v>718</v>
      </c>
      <c r="AU95">
        <v>2002</v>
      </c>
      <c r="AV95">
        <v>36</v>
      </c>
      <c r="AW95">
        <v>9</v>
      </c>
      <c r="AX95" t="s">
        <v>74</v>
      </c>
      <c r="AY95" t="s">
        <v>74</v>
      </c>
      <c r="AZ95" t="s">
        <v>74</v>
      </c>
      <c r="BA95" t="s">
        <v>74</v>
      </c>
      <c r="BB95">
        <v>1047</v>
      </c>
      <c r="BC95">
        <v>1103</v>
      </c>
      <c r="BD95" t="s">
        <v>74</v>
      </c>
      <c r="BE95" t="s">
        <v>1613</v>
      </c>
      <c r="BF95" t="str">
        <f>HYPERLINK("http://dx.doi.org/10.1080/00222930110039602","http://dx.doi.org/10.1080/00222930110039602")</f>
        <v>http://dx.doi.org/10.1080/00222930110039602</v>
      </c>
      <c r="BG95" t="s">
        <v>74</v>
      </c>
      <c r="BH95" t="s">
        <v>74</v>
      </c>
      <c r="BI95">
        <v>57</v>
      </c>
      <c r="BJ95" t="s">
        <v>1597</v>
      </c>
      <c r="BK95" t="s">
        <v>170</v>
      </c>
      <c r="BL95" t="s">
        <v>1598</v>
      </c>
      <c r="BM95" t="s">
        <v>1614</v>
      </c>
      <c r="BN95" t="s">
        <v>74</v>
      </c>
      <c r="BO95" t="s">
        <v>74</v>
      </c>
      <c r="BP95" t="s">
        <v>74</v>
      </c>
      <c r="BQ95" t="s">
        <v>74</v>
      </c>
      <c r="BR95" t="s">
        <v>107</v>
      </c>
      <c r="BS95" t="s">
        <v>1615</v>
      </c>
      <c r="BT95" t="str">
        <f>HYPERLINK("https%3A%2F%2Fwww.webofscience.com%2Fwos%2Fwoscc%2Ffull-record%2FWOS:000175797700003","View Full Record in Web of Science")</f>
        <v>View Full Record in Web of Science</v>
      </c>
    </row>
    <row r="96" spans="1:72" x14ac:dyDescent="0.15">
      <c r="A96" t="s">
        <v>72</v>
      </c>
      <c r="B96" t="s">
        <v>1616</v>
      </c>
      <c r="C96" t="s">
        <v>74</v>
      </c>
      <c r="D96" t="s">
        <v>74</v>
      </c>
      <c r="E96" t="s">
        <v>74</v>
      </c>
      <c r="F96" t="s">
        <v>1616</v>
      </c>
      <c r="G96" t="s">
        <v>74</v>
      </c>
      <c r="H96" t="s">
        <v>74</v>
      </c>
      <c r="I96" t="s">
        <v>1617</v>
      </c>
      <c r="J96" t="s">
        <v>1618</v>
      </c>
      <c r="K96" t="s">
        <v>74</v>
      </c>
      <c r="L96" t="s">
        <v>74</v>
      </c>
      <c r="M96" t="s">
        <v>77</v>
      </c>
      <c r="N96" t="s">
        <v>153</v>
      </c>
      <c r="O96" t="s">
        <v>74</v>
      </c>
      <c r="P96" t="s">
        <v>74</v>
      </c>
      <c r="Q96" t="s">
        <v>74</v>
      </c>
      <c r="R96" t="s">
        <v>74</v>
      </c>
      <c r="S96" t="s">
        <v>74</v>
      </c>
      <c r="T96" t="s">
        <v>1619</v>
      </c>
      <c r="U96" t="s">
        <v>1620</v>
      </c>
      <c r="V96" t="s">
        <v>1621</v>
      </c>
      <c r="W96" t="s">
        <v>1622</v>
      </c>
      <c r="X96" t="s">
        <v>1623</v>
      </c>
      <c r="Y96" t="s">
        <v>1624</v>
      </c>
      <c r="Z96" t="s">
        <v>74</v>
      </c>
      <c r="AA96" t="s">
        <v>1625</v>
      </c>
      <c r="AB96" t="s">
        <v>74</v>
      </c>
      <c r="AC96" t="s">
        <v>74</v>
      </c>
      <c r="AD96" t="s">
        <v>74</v>
      </c>
      <c r="AE96" t="s">
        <v>74</v>
      </c>
      <c r="AF96" t="s">
        <v>74</v>
      </c>
      <c r="AG96">
        <v>15</v>
      </c>
      <c r="AH96">
        <v>8</v>
      </c>
      <c r="AI96">
        <v>10</v>
      </c>
      <c r="AJ96">
        <v>0</v>
      </c>
      <c r="AK96">
        <v>3</v>
      </c>
      <c r="AL96" t="s">
        <v>1626</v>
      </c>
      <c r="AM96" t="s">
        <v>1287</v>
      </c>
      <c r="AN96" t="s">
        <v>1627</v>
      </c>
      <c r="AO96" t="s">
        <v>1628</v>
      </c>
      <c r="AP96" t="s">
        <v>74</v>
      </c>
      <c r="AQ96" t="s">
        <v>74</v>
      </c>
      <c r="AR96" t="s">
        <v>1629</v>
      </c>
      <c r="AS96" t="s">
        <v>1630</v>
      </c>
      <c r="AT96" t="s">
        <v>718</v>
      </c>
      <c r="AU96">
        <v>2002</v>
      </c>
      <c r="AV96">
        <v>58</v>
      </c>
      <c r="AW96">
        <v>3</v>
      </c>
      <c r="AX96" t="s">
        <v>74</v>
      </c>
      <c r="AY96" t="s">
        <v>74</v>
      </c>
      <c r="AZ96" t="s">
        <v>74</v>
      </c>
      <c r="BA96" t="s">
        <v>74</v>
      </c>
      <c r="BB96">
        <v>519</v>
      </c>
      <c r="BC96">
        <v>523</v>
      </c>
      <c r="BD96" t="s">
        <v>74</v>
      </c>
      <c r="BE96" t="s">
        <v>1631</v>
      </c>
      <c r="BF96" t="str">
        <f>HYPERLINK("http://dx.doi.org/10.1023/A:1021269416767","http://dx.doi.org/10.1023/A:1021269416767")</f>
        <v>http://dx.doi.org/10.1023/A:1021269416767</v>
      </c>
      <c r="BG96" t="s">
        <v>74</v>
      </c>
      <c r="BH96" t="s">
        <v>74</v>
      </c>
      <c r="BI96">
        <v>5</v>
      </c>
      <c r="BJ96" t="s">
        <v>1155</v>
      </c>
      <c r="BK96" t="s">
        <v>170</v>
      </c>
      <c r="BL96" t="s">
        <v>1155</v>
      </c>
      <c r="BM96" t="s">
        <v>1632</v>
      </c>
      <c r="BN96" t="s">
        <v>74</v>
      </c>
      <c r="BO96" t="s">
        <v>74</v>
      </c>
      <c r="BP96" t="s">
        <v>74</v>
      </c>
      <c r="BQ96" t="s">
        <v>74</v>
      </c>
      <c r="BR96" t="s">
        <v>107</v>
      </c>
      <c r="BS96" t="s">
        <v>1633</v>
      </c>
      <c r="BT96" t="str">
        <f>HYPERLINK("https%3A%2F%2Fwww.webofscience.com%2Fwos%2Fwoscc%2Ffull-record%2FWOS:000175729200009","View Full Record in Web of Science")</f>
        <v>View Full Record in Web of Science</v>
      </c>
    </row>
    <row r="97" spans="1:72" x14ac:dyDescent="0.15">
      <c r="A97" t="s">
        <v>72</v>
      </c>
      <c r="B97" t="s">
        <v>1634</v>
      </c>
      <c r="C97" t="s">
        <v>74</v>
      </c>
      <c r="D97" t="s">
        <v>74</v>
      </c>
      <c r="E97" t="s">
        <v>74</v>
      </c>
      <c r="F97" t="s">
        <v>1634</v>
      </c>
      <c r="G97" t="s">
        <v>74</v>
      </c>
      <c r="H97" t="s">
        <v>74</v>
      </c>
      <c r="I97" t="s">
        <v>1635</v>
      </c>
      <c r="J97" t="s">
        <v>1636</v>
      </c>
      <c r="K97" t="s">
        <v>74</v>
      </c>
      <c r="L97" t="s">
        <v>74</v>
      </c>
      <c r="M97" t="s">
        <v>77</v>
      </c>
      <c r="N97" t="s">
        <v>153</v>
      </c>
      <c r="O97" t="s">
        <v>74</v>
      </c>
      <c r="P97" t="s">
        <v>74</v>
      </c>
      <c r="Q97" t="s">
        <v>74</v>
      </c>
      <c r="R97" t="s">
        <v>74</v>
      </c>
      <c r="S97" t="s">
        <v>74</v>
      </c>
      <c r="T97" t="s">
        <v>1637</v>
      </c>
      <c r="U97" t="s">
        <v>1638</v>
      </c>
      <c r="V97" t="s">
        <v>1639</v>
      </c>
      <c r="W97" t="s">
        <v>1640</v>
      </c>
      <c r="X97" t="s">
        <v>1641</v>
      </c>
      <c r="Y97" t="s">
        <v>1642</v>
      </c>
      <c r="Z97" t="s">
        <v>1643</v>
      </c>
      <c r="AA97" t="s">
        <v>1644</v>
      </c>
      <c r="AB97" t="s">
        <v>1645</v>
      </c>
      <c r="AC97" t="s">
        <v>74</v>
      </c>
      <c r="AD97" t="s">
        <v>74</v>
      </c>
      <c r="AE97" t="s">
        <v>74</v>
      </c>
      <c r="AF97" t="s">
        <v>74</v>
      </c>
      <c r="AG97">
        <v>70</v>
      </c>
      <c r="AH97">
        <v>197</v>
      </c>
      <c r="AI97">
        <v>209</v>
      </c>
      <c r="AJ97">
        <v>4</v>
      </c>
      <c r="AK97">
        <v>34</v>
      </c>
      <c r="AL97" t="s">
        <v>1646</v>
      </c>
      <c r="AM97" t="s">
        <v>895</v>
      </c>
      <c r="AN97" t="s">
        <v>1647</v>
      </c>
      <c r="AO97" t="s">
        <v>1648</v>
      </c>
      <c r="AP97" t="s">
        <v>1649</v>
      </c>
      <c r="AQ97" t="s">
        <v>74</v>
      </c>
      <c r="AR97" t="s">
        <v>1650</v>
      </c>
      <c r="AS97" t="s">
        <v>1651</v>
      </c>
      <c r="AT97" t="s">
        <v>718</v>
      </c>
      <c r="AU97">
        <v>2002</v>
      </c>
      <c r="AV97">
        <v>43</v>
      </c>
      <c r="AW97">
        <v>6</v>
      </c>
      <c r="AX97" t="s">
        <v>74</v>
      </c>
      <c r="AY97" t="s">
        <v>74</v>
      </c>
      <c r="AZ97" t="s">
        <v>74</v>
      </c>
      <c r="BA97" t="s">
        <v>74</v>
      </c>
      <c r="BB97">
        <v>981</v>
      </c>
      <c r="BC97">
        <v>1001</v>
      </c>
      <c r="BD97" t="s">
        <v>74</v>
      </c>
      <c r="BE97" t="s">
        <v>1652</v>
      </c>
      <c r="BF97" t="str">
        <f>HYPERLINK("http://dx.doi.org/10.1093/petrology/43.6.981","http://dx.doi.org/10.1093/petrology/43.6.981")</f>
        <v>http://dx.doi.org/10.1093/petrology/43.6.981</v>
      </c>
      <c r="BG97" t="s">
        <v>74</v>
      </c>
      <c r="BH97" t="s">
        <v>74</v>
      </c>
      <c r="BI97">
        <v>21</v>
      </c>
      <c r="BJ97" t="s">
        <v>556</v>
      </c>
      <c r="BK97" t="s">
        <v>170</v>
      </c>
      <c r="BL97" t="s">
        <v>556</v>
      </c>
      <c r="BM97" t="s">
        <v>1653</v>
      </c>
      <c r="BN97" t="s">
        <v>74</v>
      </c>
      <c r="BO97" t="s">
        <v>173</v>
      </c>
      <c r="BP97" t="s">
        <v>74</v>
      </c>
      <c r="BQ97" t="s">
        <v>74</v>
      </c>
      <c r="BR97" t="s">
        <v>107</v>
      </c>
      <c r="BS97" t="s">
        <v>1654</v>
      </c>
      <c r="BT97" t="str">
        <f>HYPERLINK("https%3A%2F%2Fwww.webofscience.com%2Fwos%2Fwoscc%2Ffull-record%2FWOS:000176249400003","View Full Record in Web of Science")</f>
        <v>View Full Record in Web of Science</v>
      </c>
    </row>
    <row r="98" spans="1:72" x14ac:dyDescent="0.15">
      <c r="A98" t="s">
        <v>72</v>
      </c>
      <c r="B98" t="s">
        <v>1655</v>
      </c>
      <c r="C98" t="s">
        <v>74</v>
      </c>
      <c r="D98" t="s">
        <v>74</v>
      </c>
      <c r="E98" t="s">
        <v>74</v>
      </c>
      <c r="F98" t="s">
        <v>1655</v>
      </c>
      <c r="G98" t="s">
        <v>74</v>
      </c>
      <c r="H98" t="s">
        <v>74</v>
      </c>
      <c r="I98" t="s">
        <v>1656</v>
      </c>
      <c r="J98" t="s">
        <v>1657</v>
      </c>
      <c r="K98" t="s">
        <v>74</v>
      </c>
      <c r="L98" t="s">
        <v>74</v>
      </c>
      <c r="M98" t="s">
        <v>77</v>
      </c>
      <c r="N98" t="s">
        <v>153</v>
      </c>
      <c r="O98" t="s">
        <v>74</v>
      </c>
      <c r="P98" t="s">
        <v>74</v>
      </c>
      <c r="Q98" t="s">
        <v>74</v>
      </c>
      <c r="R98" t="s">
        <v>74</v>
      </c>
      <c r="S98" t="s">
        <v>74</v>
      </c>
      <c r="T98" t="s">
        <v>74</v>
      </c>
      <c r="U98" t="s">
        <v>1658</v>
      </c>
      <c r="V98" t="s">
        <v>1659</v>
      </c>
      <c r="W98" t="s">
        <v>1660</v>
      </c>
      <c r="X98" t="s">
        <v>1661</v>
      </c>
      <c r="Y98" t="s">
        <v>1662</v>
      </c>
      <c r="Z98" t="s">
        <v>1663</v>
      </c>
      <c r="AA98" t="s">
        <v>1664</v>
      </c>
      <c r="AB98" t="s">
        <v>1665</v>
      </c>
      <c r="AC98" t="s">
        <v>74</v>
      </c>
      <c r="AD98" t="s">
        <v>74</v>
      </c>
      <c r="AE98" t="s">
        <v>74</v>
      </c>
      <c r="AF98" t="s">
        <v>74</v>
      </c>
      <c r="AG98">
        <v>86</v>
      </c>
      <c r="AH98">
        <v>36</v>
      </c>
      <c r="AI98">
        <v>38</v>
      </c>
      <c r="AJ98">
        <v>0</v>
      </c>
      <c r="AK98">
        <v>10</v>
      </c>
      <c r="AL98" t="s">
        <v>1439</v>
      </c>
      <c r="AM98" t="s">
        <v>1440</v>
      </c>
      <c r="AN98" t="s">
        <v>1441</v>
      </c>
      <c r="AO98" t="s">
        <v>1666</v>
      </c>
      <c r="AP98" t="s">
        <v>74</v>
      </c>
      <c r="AQ98" t="s">
        <v>74</v>
      </c>
      <c r="AR98" t="s">
        <v>1667</v>
      </c>
      <c r="AS98" t="s">
        <v>1668</v>
      </c>
      <c r="AT98" t="s">
        <v>718</v>
      </c>
      <c r="AU98">
        <v>2002</v>
      </c>
      <c r="AV98">
        <v>32</v>
      </c>
      <c r="AW98">
        <v>6</v>
      </c>
      <c r="AX98" t="s">
        <v>74</v>
      </c>
      <c r="AY98" t="s">
        <v>74</v>
      </c>
      <c r="AZ98" t="s">
        <v>74</v>
      </c>
      <c r="BA98" t="s">
        <v>74</v>
      </c>
      <c r="BB98">
        <v>1642</v>
      </c>
      <c r="BC98">
        <v>1666</v>
      </c>
      <c r="BD98" t="s">
        <v>74</v>
      </c>
      <c r="BE98" t="s">
        <v>1669</v>
      </c>
      <c r="BF98" t="str">
        <f>HYPERLINK("http://dx.doi.org/10.1175/1520-0485(2002)032&lt;1642:ABWFAD&gt;2.0.CO;2","http://dx.doi.org/10.1175/1520-0485(2002)032&lt;1642:ABWFAD&gt;2.0.CO;2")</f>
        <v>http://dx.doi.org/10.1175/1520-0485(2002)032&lt;1642:ABWFAD&gt;2.0.CO;2</v>
      </c>
      <c r="BG98" t="s">
        <v>74</v>
      </c>
      <c r="BH98" t="s">
        <v>74</v>
      </c>
      <c r="BI98">
        <v>25</v>
      </c>
      <c r="BJ98" t="s">
        <v>1155</v>
      </c>
      <c r="BK98" t="s">
        <v>170</v>
      </c>
      <c r="BL98" t="s">
        <v>1155</v>
      </c>
      <c r="BM98" t="s">
        <v>1670</v>
      </c>
      <c r="BN98" t="s">
        <v>74</v>
      </c>
      <c r="BO98" t="s">
        <v>461</v>
      </c>
      <c r="BP98" t="s">
        <v>74</v>
      </c>
      <c r="BQ98" t="s">
        <v>74</v>
      </c>
      <c r="BR98" t="s">
        <v>107</v>
      </c>
      <c r="BS98" t="s">
        <v>1671</v>
      </c>
      <c r="BT98" t="str">
        <f>HYPERLINK("https%3A%2F%2Fwww.webofscience.com%2Fwos%2Fwoscc%2Ffull-record%2FWOS:000175816400003","View Full Record in Web of Science")</f>
        <v>View Full Record in Web of Science</v>
      </c>
    </row>
    <row r="99" spans="1:72" x14ac:dyDescent="0.15">
      <c r="A99" t="s">
        <v>72</v>
      </c>
      <c r="B99" t="s">
        <v>1672</v>
      </c>
      <c r="C99" t="s">
        <v>74</v>
      </c>
      <c r="D99" t="s">
        <v>74</v>
      </c>
      <c r="E99" t="s">
        <v>74</v>
      </c>
      <c r="F99" t="s">
        <v>1672</v>
      </c>
      <c r="G99" t="s">
        <v>74</v>
      </c>
      <c r="H99" t="s">
        <v>74</v>
      </c>
      <c r="I99" t="s">
        <v>1673</v>
      </c>
      <c r="J99" t="s">
        <v>1657</v>
      </c>
      <c r="K99" t="s">
        <v>74</v>
      </c>
      <c r="L99" t="s">
        <v>74</v>
      </c>
      <c r="M99" t="s">
        <v>77</v>
      </c>
      <c r="N99" t="s">
        <v>153</v>
      </c>
      <c r="O99" t="s">
        <v>74</v>
      </c>
      <c r="P99" t="s">
        <v>74</v>
      </c>
      <c r="Q99" t="s">
        <v>74</v>
      </c>
      <c r="R99" t="s">
        <v>74</v>
      </c>
      <c r="S99" t="s">
        <v>74</v>
      </c>
      <c r="T99" t="s">
        <v>74</v>
      </c>
      <c r="U99" t="s">
        <v>1674</v>
      </c>
      <c r="V99" t="s">
        <v>1675</v>
      </c>
      <c r="W99" t="s">
        <v>1676</v>
      </c>
      <c r="X99" t="s">
        <v>1677</v>
      </c>
      <c r="Y99" t="s">
        <v>1678</v>
      </c>
      <c r="Z99" t="s">
        <v>74</v>
      </c>
      <c r="AA99" t="s">
        <v>1679</v>
      </c>
      <c r="AB99" t="s">
        <v>1680</v>
      </c>
      <c r="AC99" t="s">
        <v>74</v>
      </c>
      <c r="AD99" t="s">
        <v>74</v>
      </c>
      <c r="AE99" t="s">
        <v>74</v>
      </c>
      <c r="AF99" t="s">
        <v>74</v>
      </c>
      <c r="AG99">
        <v>34</v>
      </c>
      <c r="AH99">
        <v>32</v>
      </c>
      <c r="AI99">
        <v>37</v>
      </c>
      <c r="AJ99">
        <v>0</v>
      </c>
      <c r="AK99">
        <v>6</v>
      </c>
      <c r="AL99" t="s">
        <v>1439</v>
      </c>
      <c r="AM99" t="s">
        <v>1440</v>
      </c>
      <c r="AN99" t="s">
        <v>1441</v>
      </c>
      <c r="AO99" t="s">
        <v>1666</v>
      </c>
      <c r="AP99" t="s">
        <v>74</v>
      </c>
      <c r="AQ99" t="s">
        <v>74</v>
      </c>
      <c r="AR99" t="s">
        <v>1667</v>
      </c>
      <c r="AS99" t="s">
        <v>1668</v>
      </c>
      <c r="AT99" t="s">
        <v>718</v>
      </c>
      <c r="AU99">
        <v>2002</v>
      </c>
      <c r="AV99">
        <v>32</v>
      </c>
      <c r="AW99">
        <v>6</v>
      </c>
      <c r="AX99" t="s">
        <v>74</v>
      </c>
      <c r="AY99" t="s">
        <v>74</v>
      </c>
      <c r="AZ99" t="s">
        <v>74</v>
      </c>
      <c r="BA99" t="s">
        <v>74</v>
      </c>
      <c r="BB99">
        <v>1685</v>
      </c>
      <c r="BC99">
        <v>1698</v>
      </c>
      <c r="BD99" t="s">
        <v>74</v>
      </c>
      <c r="BE99" t="s">
        <v>1681</v>
      </c>
      <c r="BF99" t="str">
        <f>HYPERLINK("http://dx.doi.org/10.1175/1520-0485(2002)032&lt;1685:AROTAS&gt;2.0.CO;2","http://dx.doi.org/10.1175/1520-0485(2002)032&lt;1685:AROTAS&gt;2.0.CO;2")</f>
        <v>http://dx.doi.org/10.1175/1520-0485(2002)032&lt;1685:AROTAS&gt;2.0.CO;2</v>
      </c>
      <c r="BG99" t="s">
        <v>74</v>
      </c>
      <c r="BH99" t="s">
        <v>74</v>
      </c>
      <c r="BI99">
        <v>14</v>
      </c>
      <c r="BJ99" t="s">
        <v>1155</v>
      </c>
      <c r="BK99" t="s">
        <v>170</v>
      </c>
      <c r="BL99" t="s">
        <v>1155</v>
      </c>
      <c r="BM99" t="s">
        <v>1670</v>
      </c>
      <c r="BN99" t="s">
        <v>74</v>
      </c>
      <c r="BO99" t="s">
        <v>1682</v>
      </c>
      <c r="BP99" t="s">
        <v>74</v>
      </c>
      <c r="BQ99" t="s">
        <v>74</v>
      </c>
      <c r="BR99" t="s">
        <v>107</v>
      </c>
      <c r="BS99" t="s">
        <v>1683</v>
      </c>
      <c r="BT99" t="str">
        <f>HYPERLINK("https%3A%2F%2Fwww.webofscience.com%2Fwos%2Fwoscc%2Ffull-record%2FWOS:000175816400005","View Full Record in Web of Science")</f>
        <v>View Full Record in Web of Science</v>
      </c>
    </row>
    <row r="100" spans="1:72" x14ac:dyDescent="0.15">
      <c r="A100" t="s">
        <v>72</v>
      </c>
      <c r="B100" t="s">
        <v>1684</v>
      </c>
      <c r="C100" t="s">
        <v>74</v>
      </c>
      <c r="D100" t="s">
        <v>74</v>
      </c>
      <c r="E100" t="s">
        <v>74</v>
      </c>
      <c r="F100" t="s">
        <v>1684</v>
      </c>
      <c r="G100" t="s">
        <v>74</v>
      </c>
      <c r="H100" t="s">
        <v>74</v>
      </c>
      <c r="I100" t="s">
        <v>1685</v>
      </c>
      <c r="J100" t="s">
        <v>1657</v>
      </c>
      <c r="K100" t="s">
        <v>74</v>
      </c>
      <c r="L100" t="s">
        <v>74</v>
      </c>
      <c r="M100" t="s">
        <v>77</v>
      </c>
      <c r="N100" t="s">
        <v>153</v>
      </c>
      <c r="O100" t="s">
        <v>74</v>
      </c>
      <c r="P100" t="s">
        <v>74</v>
      </c>
      <c r="Q100" t="s">
        <v>74</v>
      </c>
      <c r="R100" t="s">
        <v>74</v>
      </c>
      <c r="S100" t="s">
        <v>74</v>
      </c>
      <c r="T100" t="s">
        <v>74</v>
      </c>
      <c r="U100" t="s">
        <v>1686</v>
      </c>
      <c r="V100" t="s">
        <v>1687</v>
      </c>
      <c r="W100" t="s">
        <v>1688</v>
      </c>
      <c r="X100" t="s">
        <v>1689</v>
      </c>
      <c r="Y100" t="s">
        <v>1690</v>
      </c>
      <c r="Z100" t="s">
        <v>1691</v>
      </c>
      <c r="AA100" t="s">
        <v>1692</v>
      </c>
      <c r="AB100" t="s">
        <v>1693</v>
      </c>
      <c r="AC100" t="s">
        <v>74</v>
      </c>
      <c r="AD100" t="s">
        <v>74</v>
      </c>
      <c r="AE100" t="s">
        <v>74</v>
      </c>
      <c r="AF100" t="s">
        <v>74</v>
      </c>
      <c r="AG100">
        <v>48</v>
      </c>
      <c r="AH100">
        <v>31</v>
      </c>
      <c r="AI100">
        <v>35</v>
      </c>
      <c r="AJ100">
        <v>0</v>
      </c>
      <c r="AK100">
        <v>8</v>
      </c>
      <c r="AL100" t="s">
        <v>1439</v>
      </c>
      <c r="AM100" t="s">
        <v>1440</v>
      </c>
      <c r="AN100" t="s">
        <v>1441</v>
      </c>
      <c r="AO100" t="s">
        <v>1666</v>
      </c>
      <c r="AP100" t="s">
        <v>1694</v>
      </c>
      <c r="AQ100" t="s">
        <v>74</v>
      </c>
      <c r="AR100" t="s">
        <v>1667</v>
      </c>
      <c r="AS100" t="s">
        <v>1668</v>
      </c>
      <c r="AT100" t="s">
        <v>718</v>
      </c>
      <c r="AU100">
        <v>2002</v>
      </c>
      <c r="AV100">
        <v>32</v>
      </c>
      <c r="AW100">
        <v>6</v>
      </c>
      <c r="AX100" t="s">
        <v>74</v>
      </c>
      <c r="AY100" t="s">
        <v>74</v>
      </c>
      <c r="AZ100" t="s">
        <v>74</v>
      </c>
      <c r="BA100" t="s">
        <v>74</v>
      </c>
      <c r="BB100">
        <v>1721</v>
      </c>
      <c r="BC100">
        <v>1746</v>
      </c>
      <c r="BD100" t="s">
        <v>74</v>
      </c>
      <c r="BE100" t="s">
        <v>1695</v>
      </c>
      <c r="BF100" t="str">
        <f>HYPERLINK("http://dx.doi.org/10.1175/1520-0485(2002)032&lt;1721:TUOSTM&gt;2.0.CO;2","http://dx.doi.org/10.1175/1520-0485(2002)032&lt;1721:TUOSTM&gt;2.0.CO;2")</f>
        <v>http://dx.doi.org/10.1175/1520-0485(2002)032&lt;1721:TUOSTM&gt;2.0.CO;2</v>
      </c>
      <c r="BG100" t="s">
        <v>74</v>
      </c>
      <c r="BH100" t="s">
        <v>74</v>
      </c>
      <c r="BI100">
        <v>26</v>
      </c>
      <c r="BJ100" t="s">
        <v>1155</v>
      </c>
      <c r="BK100" t="s">
        <v>170</v>
      </c>
      <c r="BL100" t="s">
        <v>1155</v>
      </c>
      <c r="BM100" t="s">
        <v>1670</v>
      </c>
      <c r="BN100" t="s">
        <v>74</v>
      </c>
      <c r="BO100" t="s">
        <v>461</v>
      </c>
      <c r="BP100" t="s">
        <v>74</v>
      </c>
      <c r="BQ100" t="s">
        <v>74</v>
      </c>
      <c r="BR100" t="s">
        <v>107</v>
      </c>
      <c r="BS100" t="s">
        <v>1696</v>
      </c>
      <c r="BT100" t="str">
        <f>HYPERLINK("https%3A%2F%2Fwww.webofscience.com%2Fwos%2Fwoscc%2Ffull-record%2FWOS:000175816400007","View Full Record in Web of Science")</f>
        <v>View Full Record in Web of Science</v>
      </c>
    </row>
    <row r="101" spans="1:72" x14ac:dyDescent="0.15">
      <c r="A101" t="s">
        <v>72</v>
      </c>
      <c r="B101" t="s">
        <v>1697</v>
      </c>
      <c r="C101" t="s">
        <v>74</v>
      </c>
      <c r="D101" t="s">
        <v>74</v>
      </c>
      <c r="E101" t="s">
        <v>74</v>
      </c>
      <c r="F101" t="s">
        <v>1697</v>
      </c>
      <c r="G101" t="s">
        <v>74</v>
      </c>
      <c r="H101" t="s">
        <v>74</v>
      </c>
      <c r="I101" t="s">
        <v>1698</v>
      </c>
      <c r="J101" t="s">
        <v>1657</v>
      </c>
      <c r="K101" t="s">
        <v>74</v>
      </c>
      <c r="L101" t="s">
        <v>74</v>
      </c>
      <c r="M101" t="s">
        <v>77</v>
      </c>
      <c r="N101" t="s">
        <v>153</v>
      </c>
      <c r="O101" t="s">
        <v>74</v>
      </c>
      <c r="P101" t="s">
        <v>74</v>
      </c>
      <c r="Q101" t="s">
        <v>74</v>
      </c>
      <c r="R101" t="s">
        <v>74</v>
      </c>
      <c r="S101" t="s">
        <v>74</v>
      </c>
      <c r="T101" t="s">
        <v>74</v>
      </c>
      <c r="U101" t="s">
        <v>1699</v>
      </c>
      <c r="V101" t="s">
        <v>1700</v>
      </c>
      <c r="W101" t="s">
        <v>1701</v>
      </c>
      <c r="X101" t="s">
        <v>1702</v>
      </c>
      <c r="Y101" t="s">
        <v>1703</v>
      </c>
      <c r="Z101" t="s">
        <v>74</v>
      </c>
      <c r="AA101" t="s">
        <v>1704</v>
      </c>
      <c r="AB101" t="s">
        <v>1705</v>
      </c>
      <c r="AC101" t="s">
        <v>74</v>
      </c>
      <c r="AD101" t="s">
        <v>74</v>
      </c>
      <c r="AE101" t="s">
        <v>74</v>
      </c>
      <c r="AF101" t="s">
        <v>74</v>
      </c>
      <c r="AG101">
        <v>30</v>
      </c>
      <c r="AH101">
        <v>52</v>
      </c>
      <c r="AI101">
        <v>55</v>
      </c>
      <c r="AJ101">
        <v>0</v>
      </c>
      <c r="AK101">
        <v>11</v>
      </c>
      <c r="AL101" t="s">
        <v>1439</v>
      </c>
      <c r="AM101" t="s">
        <v>1440</v>
      </c>
      <c r="AN101" t="s">
        <v>1441</v>
      </c>
      <c r="AO101" t="s">
        <v>1666</v>
      </c>
      <c r="AP101" t="s">
        <v>74</v>
      </c>
      <c r="AQ101" t="s">
        <v>74</v>
      </c>
      <c r="AR101" t="s">
        <v>1667</v>
      </c>
      <c r="AS101" t="s">
        <v>1668</v>
      </c>
      <c r="AT101" t="s">
        <v>718</v>
      </c>
      <c r="AU101">
        <v>2002</v>
      </c>
      <c r="AV101">
        <v>32</v>
      </c>
      <c r="AW101">
        <v>6</v>
      </c>
      <c r="AX101" t="s">
        <v>74</v>
      </c>
      <c r="AY101" t="s">
        <v>74</v>
      </c>
      <c r="AZ101" t="s">
        <v>74</v>
      </c>
      <c r="BA101" t="s">
        <v>74</v>
      </c>
      <c r="BB101">
        <v>1914</v>
      </c>
      <c r="BC101">
        <v>1931</v>
      </c>
      <c r="BD101" t="s">
        <v>74</v>
      </c>
      <c r="BE101" t="s">
        <v>1706</v>
      </c>
      <c r="BF101" t="str">
        <f>HYPERLINK("http://dx.doi.org/10.1175/1520-0485(2002)032&lt;1914:TACCBT&gt;2.0.CO;2","http://dx.doi.org/10.1175/1520-0485(2002)032&lt;1914:TACCBT&gt;2.0.CO;2")</f>
        <v>http://dx.doi.org/10.1175/1520-0485(2002)032&lt;1914:TACCBT&gt;2.0.CO;2</v>
      </c>
      <c r="BG101" t="s">
        <v>74</v>
      </c>
      <c r="BH101" t="s">
        <v>74</v>
      </c>
      <c r="BI101">
        <v>18</v>
      </c>
      <c r="BJ101" t="s">
        <v>1155</v>
      </c>
      <c r="BK101" t="s">
        <v>170</v>
      </c>
      <c r="BL101" t="s">
        <v>1155</v>
      </c>
      <c r="BM101" t="s">
        <v>1670</v>
      </c>
      <c r="BN101" t="s">
        <v>74</v>
      </c>
      <c r="BO101" t="s">
        <v>1707</v>
      </c>
      <c r="BP101" t="s">
        <v>74</v>
      </c>
      <c r="BQ101" t="s">
        <v>74</v>
      </c>
      <c r="BR101" t="s">
        <v>107</v>
      </c>
      <c r="BS101" t="s">
        <v>1708</v>
      </c>
      <c r="BT101" t="str">
        <f>HYPERLINK("https%3A%2F%2Fwww.webofscience.com%2Fwos%2Fwoscc%2Ffull-record%2FWOS:000175816400018","View Full Record in Web of Science")</f>
        <v>View Full Record in Web of Science</v>
      </c>
    </row>
    <row r="102" spans="1:72" x14ac:dyDescent="0.15">
      <c r="A102" t="s">
        <v>72</v>
      </c>
      <c r="B102" t="s">
        <v>1709</v>
      </c>
      <c r="C102" t="s">
        <v>74</v>
      </c>
      <c r="D102" t="s">
        <v>74</v>
      </c>
      <c r="E102" t="s">
        <v>74</v>
      </c>
      <c r="F102" t="s">
        <v>1709</v>
      </c>
      <c r="G102" t="s">
        <v>74</v>
      </c>
      <c r="H102" t="s">
        <v>74</v>
      </c>
      <c r="I102" t="s">
        <v>1710</v>
      </c>
      <c r="J102" t="s">
        <v>1711</v>
      </c>
      <c r="K102" t="s">
        <v>74</v>
      </c>
      <c r="L102" t="s">
        <v>74</v>
      </c>
      <c r="M102" t="s">
        <v>77</v>
      </c>
      <c r="N102" t="s">
        <v>947</v>
      </c>
      <c r="O102" t="s">
        <v>74</v>
      </c>
      <c r="P102" t="s">
        <v>74</v>
      </c>
      <c r="Q102" t="s">
        <v>74</v>
      </c>
      <c r="R102" t="s">
        <v>74</v>
      </c>
      <c r="S102" t="s">
        <v>74</v>
      </c>
      <c r="T102" t="s">
        <v>1712</v>
      </c>
      <c r="U102" t="s">
        <v>1713</v>
      </c>
      <c r="V102" t="s">
        <v>1714</v>
      </c>
      <c r="W102" t="s">
        <v>1715</v>
      </c>
      <c r="X102" t="s">
        <v>1716</v>
      </c>
      <c r="Y102" t="s">
        <v>1717</v>
      </c>
      <c r="Z102" t="s">
        <v>1718</v>
      </c>
      <c r="AA102" t="s">
        <v>1719</v>
      </c>
      <c r="AB102" t="s">
        <v>1720</v>
      </c>
      <c r="AC102" t="s">
        <v>74</v>
      </c>
      <c r="AD102" t="s">
        <v>74</v>
      </c>
      <c r="AE102" t="s">
        <v>74</v>
      </c>
      <c r="AF102" t="s">
        <v>74</v>
      </c>
      <c r="AG102">
        <v>142</v>
      </c>
      <c r="AH102">
        <v>184</v>
      </c>
      <c r="AI102">
        <v>211</v>
      </c>
      <c r="AJ102">
        <v>2</v>
      </c>
      <c r="AK102">
        <v>75</v>
      </c>
      <c r="AL102" t="s">
        <v>894</v>
      </c>
      <c r="AM102" t="s">
        <v>895</v>
      </c>
      <c r="AN102" t="s">
        <v>896</v>
      </c>
      <c r="AO102" t="s">
        <v>1721</v>
      </c>
      <c r="AP102" t="s">
        <v>1722</v>
      </c>
      <c r="AQ102" t="s">
        <v>74</v>
      </c>
      <c r="AR102" t="s">
        <v>1723</v>
      </c>
      <c r="AS102" t="s">
        <v>1724</v>
      </c>
      <c r="AT102" t="s">
        <v>718</v>
      </c>
      <c r="AU102">
        <v>2002</v>
      </c>
      <c r="AV102">
        <v>53</v>
      </c>
      <c r="AW102">
        <v>5</v>
      </c>
      <c r="AX102" t="s">
        <v>74</v>
      </c>
      <c r="AY102" t="s">
        <v>74</v>
      </c>
      <c r="AZ102" t="s">
        <v>74</v>
      </c>
      <c r="BA102" t="s">
        <v>74</v>
      </c>
      <c r="BB102">
        <v>425</v>
      </c>
      <c r="BC102">
        <v>452</v>
      </c>
      <c r="BD102" t="s">
        <v>1725</v>
      </c>
      <c r="BE102" t="s">
        <v>1726</v>
      </c>
      <c r="BF102" t="str">
        <f>HYPERLINK("http://dx.doi.org/10.1016/S0141-1136(01)00128-3","http://dx.doi.org/10.1016/S0141-1136(01)00128-3")</f>
        <v>http://dx.doi.org/10.1016/S0141-1136(01)00128-3</v>
      </c>
      <c r="BG102" t="s">
        <v>74</v>
      </c>
      <c r="BH102" t="s">
        <v>74</v>
      </c>
      <c r="BI102">
        <v>28</v>
      </c>
      <c r="BJ102" t="s">
        <v>1727</v>
      </c>
      <c r="BK102" t="s">
        <v>170</v>
      </c>
      <c r="BL102" t="s">
        <v>1728</v>
      </c>
      <c r="BM102" t="s">
        <v>1729</v>
      </c>
      <c r="BN102">
        <v>12054104</v>
      </c>
      <c r="BO102" t="s">
        <v>74</v>
      </c>
      <c r="BP102" t="s">
        <v>74</v>
      </c>
      <c r="BQ102" t="s">
        <v>74</v>
      </c>
      <c r="BR102" t="s">
        <v>107</v>
      </c>
      <c r="BS102" t="s">
        <v>1730</v>
      </c>
      <c r="BT102" t="str">
        <f>HYPERLINK("https%3A%2F%2Fwww.webofscience.com%2Fwos%2Fwoscc%2Ffull-record%2FWOS:000175187900001","View Full Record in Web of Science")</f>
        <v>View Full Record in Web of Science</v>
      </c>
    </row>
    <row r="103" spans="1:72" x14ac:dyDescent="0.15">
      <c r="A103" t="s">
        <v>72</v>
      </c>
      <c r="B103" t="s">
        <v>1731</v>
      </c>
      <c r="C103" t="s">
        <v>74</v>
      </c>
      <c r="D103" t="s">
        <v>74</v>
      </c>
      <c r="E103" t="s">
        <v>74</v>
      </c>
      <c r="F103" t="s">
        <v>1731</v>
      </c>
      <c r="G103" t="s">
        <v>74</v>
      </c>
      <c r="H103" t="s">
        <v>74</v>
      </c>
      <c r="I103" t="s">
        <v>1732</v>
      </c>
      <c r="J103" t="s">
        <v>1733</v>
      </c>
      <c r="K103" t="s">
        <v>74</v>
      </c>
      <c r="L103" t="s">
        <v>74</v>
      </c>
      <c r="M103" t="s">
        <v>77</v>
      </c>
      <c r="N103" t="s">
        <v>153</v>
      </c>
      <c r="O103" t="s">
        <v>74</v>
      </c>
      <c r="P103" t="s">
        <v>74</v>
      </c>
      <c r="Q103" t="s">
        <v>74</v>
      </c>
      <c r="R103" t="s">
        <v>74</v>
      </c>
      <c r="S103" t="s">
        <v>74</v>
      </c>
      <c r="T103" t="s">
        <v>1734</v>
      </c>
      <c r="U103" t="s">
        <v>1735</v>
      </c>
      <c r="V103" t="s">
        <v>1736</v>
      </c>
      <c r="W103" t="s">
        <v>1737</v>
      </c>
      <c r="X103" t="s">
        <v>1738</v>
      </c>
      <c r="Y103" t="s">
        <v>1739</v>
      </c>
      <c r="Z103" t="s">
        <v>1740</v>
      </c>
      <c r="AA103" t="s">
        <v>74</v>
      </c>
      <c r="AB103" t="s">
        <v>74</v>
      </c>
      <c r="AC103" t="s">
        <v>74</v>
      </c>
      <c r="AD103" t="s">
        <v>74</v>
      </c>
      <c r="AE103" t="s">
        <v>74</v>
      </c>
      <c r="AF103" t="s">
        <v>74</v>
      </c>
      <c r="AG103">
        <v>24</v>
      </c>
      <c r="AH103">
        <v>22</v>
      </c>
      <c r="AI103">
        <v>22</v>
      </c>
      <c r="AJ103">
        <v>0</v>
      </c>
      <c r="AK103">
        <v>2</v>
      </c>
      <c r="AL103" t="s">
        <v>1068</v>
      </c>
      <c r="AM103" t="s">
        <v>195</v>
      </c>
      <c r="AN103" t="s">
        <v>1741</v>
      </c>
      <c r="AO103" t="s">
        <v>1742</v>
      </c>
      <c r="AP103" t="s">
        <v>1743</v>
      </c>
      <c r="AQ103" t="s">
        <v>74</v>
      </c>
      <c r="AR103" t="s">
        <v>1744</v>
      </c>
      <c r="AS103" t="s">
        <v>1745</v>
      </c>
      <c r="AT103" t="s">
        <v>718</v>
      </c>
      <c r="AU103">
        <v>2002</v>
      </c>
      <c r="AV103">
        <v>48</v>
      </c>
      <c r="AW103">
        <v>4</v>
      </c>
      <c r="AX103" t="s">
        <v>74</v>
      </c>
      <c r="AY103" t="s">
        <v>74</v>
      </c>
      <c r="AZ103" t="s">
        <v>74</v>
      </c>
      <c r="BA103" t="s">
        <v>74</v>
      </c>
      <c r="BB103">
        <v>263</v>
      </c>
      <c r="BC103">
        <v>269</v>
      </c>
      <c r="BD103" t="s">
        <v>1746</v>
      </c>
      <c r="BE103" t="s">
        <v>1747</v>
      </c>
      <c r="BF103" t="str">
        <f>HYPERLINK("http://dx.doi.org/10.1016/S1044-5803(02)00273-5","http://dx.doi.org/10.1016/S1044-5803(02)00273-5")</f>
        <v>http://dx.doi.org/10.1016/S1044-5803(02)00273-5</v>
      </c>
      <c r="BG103" t="s">
        <v>74</v>
      </c>
      <c r="BH103" t="s">
        <v>74</v>
      </c>
      <c r="BI103">
        <v>7</v>
      </c>
      <c r="BJ103" t="s">
        <v>1748</v>
      </c>
      <c r="BK103" t="s">
        <v>170</v>
      </c>
      <c r="BL103" t="s">
        <v>1749</v>
      </c>
      <c r="BM103" t="s">
        <v>1750</v>
      </c>
      <c r="BN103" t="s">
        <v>74</v>
      </c>
      <c r="BO103" t="s">
        <v>74</v>
      </c>
      <c r="BP103" t="s">
        <v>74</v>
      </c>
      <c r="BQ103" t="s">
        <v>74</v>
      </c>
      <c r="BR103" t="s">
        <v>107</v>
      </c>
      <c r="BS103" t="s">
        <v>1751</v>
      </c>
      <c r="BT103" t="str">
        <f>HYPERLINK("https%3A%2F%2Fwww.webofscience.com%2Fwos%2Fwoscc%2Ffull-record%2FWOS:000180120000002","View Full Record in Web of Science")</f>
        <v>View Full Record in Web of Science</v>
      </c>
    </row>
    <row r="104" spans="1:72" x14ac:dyDescent="0.15">
      <c r="A104" t="s">
        <v>72</v>
      </c>
      <c r="B104" t="s">
        <v>1752</v>
      </c>
      <c r="C104" t="s">
        <v>74</v>
      </c>
      <c r="D104" t="s">
        <v>74</v>
      </c>
      <c r="E104" t="s">
        <v>74</v>
      </c>
      <c r="F104" t="s">
        <v>1752</v>
      </c>
      <c r="G104" t="s">
        <v>74</v>
      </c>
      <c r="H104" t="s">
        <v>74</v>
      </c>
      <c r="I104" t="s">
        <v>1753</v>
      </c>
      <c r="J104" t="s">
        <v>1754</v>
      </c>
      <c r="K104" t="s">
        <v>74</v>
      </c>
      <c r="L104" t="s">
        <v>74</v>
      </c>
      <c r="M104" t="s">
        <v>77</v>
      </c>
      <c r="N104" t="s">
        <v>153</v>
      </c>
      <c r="O104" t="s">
        <v>74</v>
      </c>
      <c r="P104" t="s">
        <v>74</v>
      </c>
      <c r="Q104" t="s">
        <v>74</v>
      </c>
      <c r="R104" t="s">
        <v>74</v>
      </c>
      <c r="S104" t="s">
        <v>74</v>
      </c>
      <c r="T104" t="s">
        <v>74</v>
      </c>
      <c r="U104" t="s">
        <v>1755</v>
      </c>
      <c r="V104" t="s">
        <v>1756</v>
      </c>
      <c r="W104" t="s">
        <v>1757</v>
      </c>
      <c r="X104" t="s">
        <v>1758</v>
      </c>
      <c r="Y104" t="s">
        <v>1759</v>
      </c>
      <c r="Z104" t="s">
        <v>74</v>
      </c>
      <c r="AA104" t="s">
        <v>1760</v>
      </c>
      <c r="AB104" t="s">
        <v>1761</v>
      </c>
      <c r="AC104" t="s">
        <v>74</v>
      </c>
      <c r="AD104" t="s">
        <v>74</v>
      </c>
      <c r="AE104" t="s">
        <v>74</v>
      </c>
      <c r="AF104" t="s">
        <v>74</v>
      </c>
      <c r="AG104">
        <v>16</v>
      </c>
      <c r="AH104">
        <v>16</v>
      </c>
      <c r="AI104">
        <v>19</v>
      </c>
      <c r="AJ104">
        <v>0</v>
      </c>
      <c r="AK104">
        <v>4</v>
      </c>
      <c r="AL104" t="s">
        <v>1439</v>
      </c>
      <c r="AM104" t="s">
        <v>1440</v>
      </c>
      <c r="AN104" t="s">
        <v>1441</v>
      </c>
      <c r="AO104" t="s">
        <v>1762</v>
      </c>
      <c r="AP104" t="s">
        <v>74</v>
      </c>
      <c r="AQ104" t="s">
        <v>74</v>
      </c>
      <c r="AR104" t="s">
        <v>1763</v>
      </c>
      <c r="AS104" t="s">
        <v>1764</v>
      </c>
      <c r="AT104" t="s">
        <v>718</v>
      </c>
      <c r="AU104">
        <v>2002</v>
      </c>
      <c r="AV104">
        <v>130</v>
      </c>
      <c r="AW104">
        <v>6</v>
      </c>
      <c r="AX104" t="s">
        <v>74</v>
      </c>
      <c r="AY104" t="s">
        <v>74</v>
      </c>
      <c r="AZ104" t="s">
        <v>74</v>
      </c>
      <c r="BA104" t="s">
        <v>74</v>
      </c>
      <c r="BB104">
        <v>1601</v>
      </c>
      <c r="BC104">
        <v>1616</v>
      </c>
      <c r="BD104" t="s">
        <v>74</v>
      </c>
      <c r="BE104" t="s">
        <v>1765</v>
      </c>
      <c r="BF104" t="str">
        <f>HYPERLINK("http://dx.doi.org/10.1175/1520-0493(2002)130&lt;1601:FALNAC&gt;2.0.CO;2","http://dx.doi.org/10.1175/1520-0493(2002)130&lt;1601:FALNAC&gt;2.0.CO;2")</f>
        <v>http://dx.doi.org/10.1175/1520-0493(2002)130&lt;1601:FALNAC&gt;2.0.CO;2</v>
      </c>
      <c r="BG104" t="s">
        <v>74</v>
      </c>
      <c r="BH104" t="s">
        <v>74</v>
      </c>
      <c r="BI104">
        <v>16</v>
      </c>
      <c r="BJ104" t="s">
        <v>403</v>
      </c>
      <c r="BK104" t="s">
        <v>170</v>
      </c>
      <c r="BL104" t="s">
        <v>403</v>
      </c>
      <c r="BM104" t="s">
        <v>1766</v>
      </c>
      <c r="BN104" t="s">
        <v>74</v>
      </c>
      <c r="BO104" t="s">
        <v>1767</v>
      </c>
      <c r="BP104" t="s">
        <v>74</v>
      </c>
      <c r="BQ104" t="s">
        <v>74</v>
      </c>
      <c r="BR104" t="s">
        <v>107</v>
      </c>
      <c r="BS104" t="s">
        <v>1768</v>
      </c>
      <c r="BT104" t="str">
        <f>HYPERLINK("https%3A%2F%2Fwww.webofscience.com%2Fwos%2Fwoscc%2Ffull-record%2FWOS:000175268100010","View Full Record in Web of Science")</f>
        <v>View Full Record in Web of Science</v>
      </c>
    </row>
    <row r="105" spans="1:72" x14ac:dyDescent="0.15">
      <c r="A105" t="s">
        <v>72</v>
      </c>
      <c r="B105" t="s">
        <v>1769</v>
      </c>
      <c r="C105" t="s">
        <v>74</v>
      </c>
      <c r="D105" t="s">
        <v>74</v>
      </c>
      <c r="E105" t="s">
        <v>74</v>
      </c>
      <c r="F105" t="s">
        <v>1769</v>
      </c>
      <c r="G105" t="s">
        <v>74</v>
      </c>
      <c r="H105" t="s">
        <v>74</v>
      </c>
      <c r="I105" t="s">
        <v>1770</v>
      </c>
      <c r="J105" t="s">
        <v>1771</v>
      </c>
      <c r="K105" t="s">
        <v>74</v>
      </c>
      <c r="L105" t="s">
        <v>74</v>
      </c>
      <c r="M105" t="s">
        <v>77</v>
      </c>
      <c r="N105" t="s">
        <v>153</v>
      </c>
      <c r="O105" t="s">
        <v>74</v>
      </c>
      <c r="P105" t="s">
        <v>74</v>
      </c>
      <c r="Q105" t="s">
        <v>74</v>
      </c>
      <c r="R105" t="s">
        <v>74</v>
      </c>
      <c r="S105" t="s">
        <v>74</v>
      </c>
      <c r="T105" t="s">
        <v>74</v>
      </c>
      <c r="U105" t="s">
        <v>1772</v>
      </c>
      <c r="V105" t="s">
        <v>1773</v>
      </c>
      <c r="W105" t="s">
        <v>1774</v>
      </c>
      <c r="X105" t="s">
        <v>1775</v>
      </c>
      <c r="Y105" t="s">
        <v>1776</v>
      </c>
      <c r="Z105" t="s">
        <v>74</v>
      </c>
      <c r="AA105" t="s">
        <v>74</v>
      </c>
      <c r="AB105" t="s">
        <v>1777</v>
      </c>
      <c r="AC105" t="s">
        <v>74</v>
      </c>
      <c r="AD105" t="s">
        <v>74</v>
      </c>
      <c r="AE105" t="s">
        <v>74</v>
      </c>
      <c r="AF105" t="s">
        <v>74</v>
      </c>
      <c r="AG105">
        <v>24</v>
      </c>
      <c r="AH105">
        <v>5</v>
      </c>
      <c r="AI105">
        <v>5</v>
      </c>
      <c r="AJ105">
        <v>0</v>
      </c>
      <c r="AK105">
        <v>0</v>
      </c>
      <c r="AL105" t="s">
        <v>1778</v>
      </c>
      <c r="AM105" t="s">
        <v>1779</v>
      </c>
      <c r="AN105" t="s">
        <v>1780</v>
      </c>
      <c r="AO105" t="s">
        <v>1781</v>
      </c>
      <c r="AP105" t="s">
        <v>74</v>
      </c>
      <c r="AQ105" t="s">
        <v>74</v>
      </c>
      <c r="AR105" t="s">
        <v>1782</v>
      </c>
      <c r="AS105" t="s">
        <v>1783</v>
      </c>
      <c r="AT105" t="s">
        <v>718</v>
      </c>
      <c r="AU105">
        <v>2002</v>
      </c>
      <c r="AV105" t="s">
        <v>74</v>
      </c>
      <c r="AW105">
        <v>6</v>
      </c>
      <c r="AX105" t="s">
        <v>74</v>
      </c>
      <c r="AY105" t="s">
        <v>74</v>
      </c>
      <c r="AZ105" t="s">
        <v>74</v>
      </c>
      <c r="BA105" t="s">
        <v>74</v>
      </c>
      <c r="BB105">
        <v>377</v>
      </c>
      <c r="BC105">
        <v>384</v>
      </c>
      <c r="BD105" t="s">
        <v>74</v>
      </c>
      <c r="BE105" t="s">
        <v>74</v>
      </c>
      <c r="BF105" t="s">
        <v>74</v>
      </c>
      <c r="BG105" t="s">
        <v>74</v>
      </c>
      <c r="BH105" t="s">
        <v>74</v>
      </c>
      <c r="BI105">
        <v>8</v>
      </c>
      <c r="BJ105" t="s">
        <v>1784</v>
      </c>
      <c r="BK105" t="s">
        <v>170</v>
      </c>
      <c r="BL105" t="s">
        <v>1784</v>
      </c>
      <c r="BM105" t="s">
        <v>1785</v>
      </c>
      <c r="BN105" t="s">
        <v>74</v>
      </c>
      <c r="BO105" t="s">
        <v>74</v>
      </c>
      <c r="BP105" t="s">
        <v>74</v>
      </c>
      <c r="BQ105" t="s">
        <v>74</v>
      </c>
      <c r="BR105" t="s">
        <v>107</v>
      </c>
      <c r="BS105" t="s">
        <v>1786</v>
      </c>
      <c r="BT105" t="str">
        <f>HYPERLINK("https%3A%2F%2Fwww.webofscience.com%2Fwos%2Fwoscc%2Ffull-record%2FWOS:000176118800005","View Full Record in Web of Science")</f>
        <v>View Full Record in Web of Science</v>
      </c>
    </row>
    <row r="106" spans="1:72" x14ac:dyDescent="0.15">
      <c r="A106" t="s">
        <v>72</v>
      </c>
      <c r="B106" t="s">
        <v>1787</v>
      </c>
      <c r="C106" t="s">
        <v>74</v>
      </c>
      <c r="D106" t="s">
        <v>74</v>
      </c>
      <c r="E106" t="s">
        <v>74</v>
      </c>
      <c r="F106" t="s">
        <v>1787</v>
      </c>
      <c r="G106" t="s">
        <v>74</v>
      </c>
      <c r="H106" t="s">
        <v>74</v>
      </c>
      <c r="I106" t="s">
        <v>1788</v>
      </c>
      <c r="J106" t="s">
        <v>1789</v>
      </c>
      <c r="K106" t="s">
        <v>74</v>
      </c>
      <c r="L106" t="s">
        <v>74</v>
      </c>
      <c r="M106" t="s">
        <v>77</v>
      </c>
      <c r="N106" t="s">
        <v>1790</v>
      </c>
      <c r="O106" t="s">
        <v>74</v>
      </c>
      <c r="P106" t="s">
        <v>74</v>
      </c>
      <c r="Q106" t="s">
        <v>74</v>
      </c>
      <c r="R106" t="s">
        <v>74</v>
      </c>
      <c r="S106" t="s">
        <v>74</v>
      </c>
      <c r="T106" t="s">
        <v>74</v>
      </c>
      <c r="U106" t="s">
        <v>74</v>
      </c>
      <c r="V106" t="s">
        <v>74</v>
      </c>
      <c r="W106" t="s">
        <v>74</v>
      </c>
      <c r="X106" t="s">
        <v>74</v>
      </c>
      <c r="Y106" t="s">
        <v>74</v>
      </c>
      <c r="Z106" t="s">
        <v>74</v>
      </c>
      <c r="AA106" t="s">
        <v>74</v>
      </c>
      <c r="AB106" t="s">
        <v>74</v>
      </c>
      <c r="AC106" t="s">
        <v>74</v>
      </c>
      <c r="AD106" t="s">
        <v>74</v>
      </c>
      <c r="AE106" t="s">
        <v>74</v>
      </c>
      <c r="AF106" t="s">
        <v>74</v>
      </c>
      <c r="AG106">
        <v>0</v>
      </c>
      <c r="AH106">
        <v>0</v>
      </c>
      <c r="AI106">
        <v>0</v>
      </c>
      <c r="AJ106">
        <v>0</v>
      </c>
      <c r="AK106">
        <v>0</v>
      </c>
      <c r="AL106" t="s">
        <v>1791</v>
      </c>
      <c r="AM106" t="s">
        <v>1792</v>
      </c>
      <c r="AN106" t="s">
        <v>1793</v>
      </c>
      <c r="AO106" t="s">
        <v>1794</v>
      </c>
      <c r="AP106" t="s">
        <v>74</v>
      </c>
      <c r="AQ106" t="s">
        <v>74</v>
      </c>
      <c r="AR106" t="s">
        <v>1795</v>
      </c>
      <c r="AS106" t="s">
        <v>1796</v>
      </c>
      <c r="AT106" t="s">
        <v>1797</v>
      </c>
      <c r="AU106">
        <v>2002</v>
      </c>
      <c r="AV106">
        <v>174</v>
      </c>
      <c r="AW106">
        <v>2345</v>
      </c>
      <c r="AX106" t="s">
        <v>74</v>
      </c>
      <c r="AY106" t="s">
        <v>74</v>
      </c>
      <c r="AZ106" t="s">
        <v>74</v>
      </c>
      <c r="BA106" t="s">
        <v>74</v>
      </c>
      <c r="BB106">
        <v>6</v>
      </c>
      <c r="BC106">
        <v>6</v>
      </c>
      <c r="BD106" t="s">
        <v>74</v>
      </c>
      <c r="BE106" t="s">
        <v>74</v>
      </c>
      <c r="BF106" t="s">
        <v>74</v>
      </c>
      <c r="BG106" t="s">
        <v>74</v>
      </c>
      <c r="BH106" t="s">
        <v>74</v>
      </c>
      <c r="BI106">
        <v>1</v>
      </c>
      <c r="BJ106" t="s">
        <v>662</v>
      </c>
      <c r="BK106" t="s">
        <v>170</v>
      </c>
      <c r="BL106" t="s">
        <v>663</v>
      </c>
      <c r="BM106" t="s">
        <v>1798</v>
      </c>
      <c r="BN106" t="s">
        <v>74</v>
      </c>
      <c r="BO106" t="s">
        <v>74</v>
      </c>
      <c r="BP106" t="s">
        <v>74</v>
      </c>
      <c r="BQ106" t="s">
        <v>74</v>
      </c>
      <c r="BR106" t="s">
        <v>107</v>
      </c>
      <c r="BS106" t="s">
        <v>1799</v>
      </c>
      <c r="BT106" t="str">
        <f>HYPERLINK("https%3A%2F%2Fwww.webofscience.com%2Fwos%2Fwoscc%2Ffull-record%2FWOS:000175982000002","View Full Record in Web of Science")</f>
        <v>View Full Record in Web of Science</v>
      </c>
    </row>
    <row r="107" spans="1:72" x14ac:dyDescent="0.15">
      <c r="A107" t="s">
        <v>72</v>
      </c>
      <c r="B107" t="s">
        <v>1800</v>
      </c>
      <c r="C107" t="s">
        <v>74</v>
      </c>
      <c r="D107" t="s">
        <v>74</v>
      </c>
      <c r="E107" t="s">
        <v>74</v>
      </c>
      <c r="F107" t="s">
        <v>1800</v>
      </c>
      <c r="G107" t="s">
        <v>74</v>
      </c>
      <c r="H107" t="s">
        <v>74</v>
      </c>
      <c r="I107" t="s">
        <v>1801</v>
      </c>
      <c r="J107" t="s">
        <v>1802</v>
      </c>
      <c r="K107" t="s">
        <v>74</v>
      </c>
      <c r="L107" t="s">
        <v>74</v>
      </c>
      <c r="M107" t="s">
        <v>77</v>
      </c>
      <c r="N107" t="s">
        <v>153</v>
      </c>
      <c r="O107" t="s">
        <v>74</v>
      </c>
      <c r="P107" t="s">
        <v>74</v>
      </c>
      <c r="Q107" t="s">
        <v>74</v>
      </c>
      <c r="R107" t="s">
        <v>74</v>
      </c>
      <c r="S107" t="s">
        <v>74</v>
      </c>
      <c r="T107" t="s">
        <v>1803</v>
      </c>
      <c r="U107" t="s">
        <v>1804</v>
      </c>
      <c r="V107" t="s">
        <v>1805</v>
      </c>
      <c r="W107" t="s">
        <v>1806</v>
      </c>
      <c r="X107" t="s">
        <v>1807</v>
      </c>
      <c r="Y107" t="s">
        <v>1808</v>
      </c>
      <c r="Z107" t="s">
        <v>74</v>
      </c>
      <c r="AA107" t="s">
        <v>74</v>
      </c>
      <c r="AB107" t="s">
        <v>74</v>
      </c>
      <c r="AC107" t="s">
        <v>74</v>
      </c>
      <c r="AD107" t="s">
        <v>74</v>
      </c>
      <c r="AE107" t="s">
        <v>74</v>
      </c>
      <c r="AF107" t="s">
        <v>74</v>
      </c>
      <c r="AG107">
        <v>40</v>
      </c>
      <c r="AH107">
        <v>12</v>
      </c>
      <c r="AI107">
        <v>14</v>
      </c>
      <c r="AJ107">
        <v>2</v>
      </c>
      <c r="AK107">
        <v>8</v>
      </c>
      <c r="AL107" t="s">
        <v>1809</v>
      </c>
      <c r="AM107" t="s">
        <v>1251</v>
      </c>
      <c r="AN107" t="s">
        <v>1252</v>
      </c>
      <c r="AO107" t="s">
        <v>1810</v>
      </c>
      <c r="AP107" t="s">
        <v>74</v>
      </c>
      <c r="AQ107" t="s">
        <v>74</v>
      </c>
      <c r="AR107" t="s">
        <v>1811</v>
      </c>
      <c r="AS107" t="s">
        <v>1812</v>
      </c>
      <c r="AT107" t="s">
        <v>718</v>
      </c>
      <c r="AU107">
        <v>2002</v>
      </c>
      <c r="AV107">
        <v>32</v>
      </c>
      <c r="AW107">
        <v>3</v>
      </c>
      <c r="AX107" t="s">
        <v>74</v>
      </c>
      <c r="AY107" t="s">
        <v>74</v>
      </c>
      <c r="AZ107" t="s">
        <v>74</v>
      </c>
      <c r="BA107" t="s">
        <v>74</v>
      </c>
      <c r="BB107">
        <v>255</v>
      </c>
      <c r="BC107">
        <v>274</v>
      </c>
      <c r="BD107" t="s">
        <v>74</v>
      </c>
      <c r="BE107" t="s">
        <v>1813</v>
      </c>
      <c r="BF107" t="str">
        <f>HYPERLINK("http://dx.doi.org/10.1023/A:1016507810083","http://dx.doi.org/10.1023/A:1016507810083")</f>
        <v>http://dx.doi.org/10.1023/A:1016507810083</v>
      </c>
      <c r="BG107" t="s">
        <v>74</v>
      </c>
      <c r="BH107" t="s">
        <v>74</v>
      </c>
      <c r="BI107">
        <v>20</v>
      </c>
      <c r="BJ107" t="s">
        <v>1814</v>
      </c>
      <c r="BK107" t="s">
        <v>170</v>
      </c>
      <c r="BL107" t="s">
        <v>1815</v>
      </c>
      <c r="BM107" t="s">
        <v>1816</v>
      </c>
      <c r="BN107">
        <v>12227430</v>
      </c>
      <c r="BO107" t="s">
        <v>74</v>
      </c>
      <c r="BP107" t="s">
        <v>74</v>
      </c>
      <c r="BQ107" t="s">
        <v>74</v>
      </c>
      <c r="BR107" t="s">
        <v>107</v>
      </c>
      <c r="BS107" t="s">
        <v>1817</v>
      </c>
      <c r="BT107" t="str">
        <f>HYPERLINK("https%3A%2F%2Fwww.webofscience.com%2Fwos%2Fwoscc%2Ffull-record%2FWOS:000177008700007","View Full Record in Web of Science")</f>
        <v>View Full Record in Web of Science</v>
      </c>
    </row>
    <row r="108" spans="1:72" x14ac:dyDescent="0.15">
      <c r="A108" t="s">
        <v>72</v>
      </c>
      <c r="B108" t="s">
        <v>1818</v>
      </c>
      <c r="C108" t="s">
        <v>74</v>
      </c>
      <c r="D108" t="s">
        <v>74</v>
      </c>
      <c r="E108" t="s">
        <v>74</v>
      </c>
      <c r="F108" t="s">
        <v>1818</v>
      </c>
      <c r="G108" t="s">
        <v>74</v>
      </c>
      <c r="H108" t="s">
        <v>74</v>
      </c>
      <c r="I108" t="s">
        <v>1819</v>
      </c>
      <c r="J108" t="s">
        <v>1820</v>
      </c>
      <c r="K108" t="s">
        <v>74</v>
      </c>
      <c r="L108" t="s">
        <v>74</v>
      </c>
      <c r="M108" t="s">
        <v>77</v>
      </c>
      <c r="N108" t="s">
        <v>947</v>
      </c>
      <c r="O108" t="s">
        <v>74</v>
      </c>
      <c r="P108" t="s">
        <v>74</v>
      </c>
      <c r="Q108" t="s">
        <v>74</v>
      </c>
      <c r="R108" t="s">
        <v>74</v>
      </c>
      <c r="S108" t="s">
        <v>74</v>
      </c>
      <c r="T108" t="s">
        <v>1821</v>
      </c>
      <c r="U108" t="s">
        <v>1822</v>
      </c>
      <c r="V108" t="s">
        <v>1823</v>
      </c>
      <c r="W108" t="s">
        <v>1824</v>
      </c>
      <c r="X108" t="s">
        <v>1825</v>
      </c>
      <c r="Y108" t="s">
        <v>1826</v>
      </c>
      <c r="Z108" t="s">
        <v>74</v>
      </c>
      <c r="AA108" t="s">
        <v>1827</v>
      </c>
      <c r="AB108" t="s">
        <v>1828</v>
      </c>
      <c r="AC108" t="s">
        <v>74</v>
      </c>
      <c r="AD108" t="s">
        <v>74</v>
      </c>
      <c r="AE108" t="s">
        <v>74</v>
      </c>
      <c r="AF108" t="s">
        <v>74</v>
      </c>
      <c r="AG108">
        <v>513</v>
      </c>
      <c r="AH108">
        <v>34</v>
      </c>
      <c r="AI108">
        <v>41</v>
      </c>
      <c r="AJ108">
        <v>0</v>
      </c>
      <c r="AK108">
        <v>1</v>
      </c>
      <c r="AL108" t="s">
        <v>1829</v>
      </c>
      <c r="AM108" t="s">
        <v>1779</v>
      </c>
      <c r="AN108" t="s">
        <v>1830</v>
      </c>
      <c r="AO108" t="s">
        <v>1831</v>
      </c>
      <c r="AP108" t="s">
        <v>74</v>
      </c>
      <c r="AQ108" t="s">
        <v>74</v>
      </c>
      <c r="AR108" t="s">
        <v>1832</v>
      </c>
      <c r="AS108" t="s">
        <v>1833</v>
      </c>
      <c r="AT108" t="s">
        <v>718</v>
      </c>
      <c r="AU108">
        <v>2002</v>
      </c>
      <c r="AV108">
        <v>265</v>
      </c>
      <c r="AW108" t="s">
        <v>1834</v>
      </c>
      <c r="AX108" t="s">
        <v>74</v>
      </c>
      <c r="AY108" t="s">
        <v>74</v>
      </c>
      <c r="AZ108" t="s">
        <v>74</v>
      </c>
      <c r="BA108" t="s">
        <v>74</v>
      </c>
      <c r="BB108">
        <v>1</v>
      </c>
      <c r="BC108" t="s">
        <v>1835</v>
      </c>
      <c r="BD108" t="s">
        <v>74</v>
      </c>
      <c r="BE108" t="s">
        <v>74</v>
      </c>
      <c r="BF108" t="s">
        <v>74</v>
      </c>
      <c r="BG108" t="s">
        <v>74</v>
      </c>
      <c r="BH108" t="s">
        <v>74</v>
      </c>
      <c r="BI108">
        <v>130</v>
      </c>
      <c r="BJ108" t="s">
        <v>1784</v>
      </c>
      <c r="BK108" t="s">
        <v>170</v>
      </c>
      <c r="BL108" t="s">
        <v>1784</v>
      </c>
      <c r="BM108" t="s">
        <v>1836</v>
      </c>
      <c r="BN108" t="s">
        <v>74</v>
      </c>
      <c r="BO108" t="s">
        <v>74</v>
      </c>
      <c r="BP108" t="s">
        <v>74</v>
      </c>
      <c r="BQ108" t="s">
        <v>74</v>
      </c>
      <c r="BR108" t="s">
        <v>107</v>
      </c>
      <c r="BS108" t="s">
        <v>1837</v>
      </c>
      <c r="BT108" t="str">
        <f>HYPERLINK("https%3A%2F%2Fwww.webofscience.com%2Fwos%2Fwoscc%2Ffull-record%2FWOS:000182600200001","View Full Record in Web of Science")</f>
        <v>View Full Record in Web of Science</v>
      </c>
    </row>
    <row r="109" spans="1:72" x14ac:dyDescent="0.15">
      <c r="A109" t="s">
        <v>72</v>
      </c>
      <c r="B109" t="s">
        <v>1838</v>
      </c>
      <c r="C109" t="s">
        <v>74</v>
      </c>
      <c r="D109" t="s">
        <v>74</v>
      </c>
      <c r="E109" t="s">
        <v>74</v>
      </c>
      <c r="F109" t="s">
        <v>1838</v>
      </c>
      <c r="G109" t="s">
        <v>74</v>
      </c>
      <c r="H109" t="s">
        <v>74</v>
      </c>
      <c r="I109" t="s">
        <v>1839</v>
      </c>
      <c r="J109" t="s">
        <v>1840</v>
      </c>
      <c r="K109" t="s">
        <v>74</v>
      </c>
      <c r="L109" t="s">
        <v>74</v>
      </c>
      <c r="M109" t="s">
        <v>77</v>
      </c>
      <c r="N109" t="s">
        <v>153</v>
      </c>
      <c r="O109" t="s">
        <v>74</v>
      </c>
      <c r="P109" t="s">
        <v>74</v>
      </c>
      <c r="Q109" t="s">
        <v>74</v>
      </c>
      <c r="R109" t="s">
        <v>74</v>
      </c>
      <c r="S109" t="s">
        <v>74</v>
      </c>
      <c r="T109" t="s">
        <v>1841</v>
      </c>
      <c r="U109" t="s">
        <v>1842</v>
      </c>
      <c r="V109" t="s">
        <v>1843</v>
      </c>
      <c r="W109" t="s">
        <v>1844</v>
      </c>
      <c r="X109" t="s">
        <v>1845</v>
      </c>
      <c r="Y109" t="s">
        <v>1846</v>
      </c>
      <c r="Z109" t="s">
        <v>1847</v>
      </c>
      <c r="AA109" t="s">
        <v>1848</v>
      </c>
      <c r="AB109" t="s">
        <v>1849</v>
      </c>
      <c r="AC109" t="s">
        <v>74</v>
      </c>
      <c r="AD109" t="s">
        <v>74</v>
      </c>
      <c r="AE109" t="s">
        <v>74</v>
      </c>
      <c r="AF109" t="s">
        <v>74</v>
      </c>
      <c r="AG109">
        <v>22</v>
      </c>
      <c r="AH109">
        <v>61</v>
      </c>
      <c r="AI109">
        <v>66</v>
      </c>
      <c r="AJ109">
        <v>1</v>
      </c>
      <c r="AK109">
        <v>34</v>
      </c>
      <c r="AL109" t="s">
        <v>1013</v>
      </c>
      <c r="AM109" t="s">
        <v>895</v>
      </c>
      <c r="AN109" t="s">
        <v>1014</v>
      </c>
      <c r="AO109" t="s">
        <v>1850</v>
      </c>
      <c r="AP109" t="s">
        <v>74</v>
      </c>
      <c r="AQ109" t="s">
        <v>74</v>
      </c>
      <c r="AR109" t="s">
        <v>1851</v>
      </c>
      <c r="AS109" t="s">
        <v>1852</v>
      </c>
      <c r="AT109" t="s">
        <v>1185</v>
      </c>
      <c r="AU109">
        <v>2002</v>
      </c>
      <c r="AV109">
        <v>50</v>
      </c>
      <c r="AW109" t="s">
        <v>1853</v>
      </c>
      <c r="AX109" t="s">
        <v>74</v>
      </c>
      <c r="AY109" t="s">
        <v>74</v>
      </c>
      <c r="AZ109" t="s">
        <v>74</v>
      </c>
      <c r="BA109" t="s">
        <v>74</v>
      </c>
      <c r="BB109">
        <v>711</v>
      </c>
      <c r="BC109">
        <v>716</v>
      </c>
      <c r="BD109" t="s">
        <v>1854</v>
      </c>
      <c r="BE109" t="s">
        <v>1855</v>
      </c>
      <c r="BF109" t="str">
        <f>HYPERLINK("http://dx.doi.org/10.1016/S0032-0633(02)00053-3","http://dx.doi.org/10.1016/S0032-0633(02)00053-3")</f>
        <v>http://dx.doi.org/10.1016/S0032-0633(02)00053-3</v>
      </c>
      <c r="BG109" t="s">
        <v>74</v>
      </c>
      <c r="BH109" t="s">
        <v>74</v>
      </c>
      <c r="BI109">
        <v>6</v>
      </c>
      <c r="BJ109" t="s">
        <v>1856</v>
      </c>
      <c r="BK109" t="s">
        <v>170</v>
      </c>
      <c r="BL109" t="s">
        <v>1856</v>
      </c>
      <c r="BM109" t="s">
        <v>1857</v>
      </c>
      <c r="BN109" t="s">
        <v>74</v>
      </c>
      <c r="BO109" t="s">
        <v>74</v>
      </c>
      <c r="BP109" t="s">
        <v>74</v>
      </c>
      <c r="BQ109" t="s">
        <v>74</v>
      </c>
      <c r="BR109" t="s">
        <v>107</v>
      </c>
      <c r="BS109" t="s">
        <v>1858</v>
      </c>
      <c r="BT109" t="str">
        <f>HYPERLINK("https%3A%2F%2Fwww.webofscience.com%2Fwos%2Fwoscc%2Ffull-record%2FWOS:000178846900007","View Full Record in Web of Science")</f>
        <v>View Full Record in Web of Science</v>
      </c>
    </row>
    <row r="110" spans="1:72" x14ac:dyDescent="0.15">
      <c r="A110" t="s">
        <v>72</v>
      </c>
      <c r="B110" t="s">
        <v>1859</v>
      </c>
      <c r="C110" t="s">
        <v>74</v>
      </c>
      <c r="D110" t="s">
        <v>74</v>
      </c>
      <c r="E110" t="s">
        <v>74</v>
      </c>
      <c r="F110" t="s">
        <v>1859</v>
      </c>
      <c r="G110" t="s">
        <v>74</v>
      </c>
      <c r="H110" t="s">
        <v>74</v>
      </c>
      <c r="I110" t="s">
        <v>1860</v>
      </c>
      <c r="J110" t="s">
        <v>263</v>
      </c>
      <c r="K110" t="s">
        <v>74</v>
      </c>
      <c r="L110" t="s">
        <v>74</v>
      </c>
      <c r="M110" t="s">
        <v>77</v>
      </c>
      <c r="N110" t="s">
        <v>153</v>
      </c>
      <c r="O110" t="s">
        <v>74</v>
      </c>
      <c r="P110" t="s">
        <v>74</v>
      </c>
      <c r="Q110" t="s">
        <v>74</v>
      </c>
      <c r="R110" t="s">
        <v>74</v>
      </c>
      <c r="S110" t="s">
        <v>74</v>
      </c>
      <c r="T110" t="s">
        <v>74</v>
      </c>
      <c r="U110" t="s">
        <v>1861</v>
      </c>
      <c r="V110" t="s">
        <v>1862</v>
      </c>
      <c r="W110" t="s">
        <v>1863</v>
      </c>
      <c r="X110" t="s">
        <v>1864</v>
      </c>
      <c r="Y110" t="s">
        <v>1865</v>
      </c>
      <c r="Z110" t="s">
        <v>74</v>
      </c>
      <c r="AA110" t="s">
        <v>74</v>
      </c>
      <c r="AB110" t="s">
        <v>74</v>
      </c>
      <c r="AC110" t="s">
        <v>74</v>
      </c>
      <c r="AD110" t="s">
        <v>74</v>
      </c>
      <c r="AE110" t="s">
        <v>74</v>
      </c>
      <c r="AF110" t="s">
        <v>74</v>
      </c>
      <c r="AG110">
        <v>68</v>
      </c>
      <c r="AH110">
        <v>18</v>
      </c>
      <c r="AI110">
        <v>20</v>
      </c>
      <c r="AJ110">
        <v>1</v>
      </c>
      <c r="AK110">
        <v>10</v>
      </c>
      <c r="AL110" t="s">
        <v>290</v>
      </c>
      <c r="AM110" t="s">
        <v>195</v>
      </c>
      <c r="AN110" t="s">
        <v>291</v>
      </c>
      <c r="AO110" t="s">
        <v>272</v>
      </c>
      <c r="AP110" t="s">
        <v>74</v>
      </c>
      <c r="AQ110" t="s">
        <v>74</v>
      </c>
      <c r="AR110" t="s">
        <v>274</v>
      </c>
      <c r="AS110" t="s">
        <v>275</v>
      </c>
      <c r="AT110" t="s">
        <v>718</v>
      </c>
      <c r="AU110">
        <v>2002</v>
      </c>
      <c r="AV110">
        <v>25</v>
      </c>
      <c r="AW110">
        <v>6</v>
      </c>
      <c r="AX110" t="s">
        <v>74</v>
      </c>
      <c r="AY110" t="s">
        <v>74</v>
      </c>
      <c r="AZ110" t="s">
        <v>74</v>
      </c>
      <c r="BA110" t="s">
        <v>74</v>
      </c>
      <c r="BB110">
        <v>416</v>
      </c>
      <c r="BC110">
        <v>424</v>
      </c>
      <c r="BD110" t="s">
        <v>74</v>
      </c>
      <c r="BE110" t="s">
        <v>1866</v>
      </c>
      <c r="BF110" t="str">
        <f>HYPERLINK("http://dx.doi.org/10.1007/s00300-002-0357-z","http://dx.doi.org/10.1007/s00300-002-0357-z")</f>
        <v>http://dx.doi.org/10.1007/s00300-002-0357-z</v>
      </c>
      <c r="BG110" t="s">
        <v>74</v>
      </c>
      <c r="BH110" t="s">
        <v>74</v>
      </c>
      <c r="BI110">
        <v>9</v>
      </c>
      <c r="BJ110" t="s">
        <v>277</v>
      </c>
      <c r="BK110" t="s">
        <v>170</v>
      </c>
      <c r="BL110" t="s">
        <v>278</v>
      </c>
      <c r="BM110" t="s">
        <v>1867</v>
      </c>
      <c r="BN110" t="s">
        <v>74</v>
      </c>
      <c r="BO110" t="s">
        <v>74</v>
      </c>
      <c r="BP110" t="s">
        <v>74</v>
      </c>
      <c r="BQ110" t="s">
        <v>74</v>
      </c>
      <c r="BR110" t="s">
        <v>107</v>
      </c>
      <c r="BS110" t="s">
        <v>1868</v>
      </c>
      <c r="BT110" t="str">
        <f>HYPERLINK("https%3A%2F%2Fwww.webofscience.com%2Fwos%2Fwoscc%2Ffull-record%2FWOS:000176332300003","View Full Record in Web of Science")</f>
        <v>View Full Record in Web of Science</v>
      </c>
    </row>
    <row r="111" spans="1:72" x14ac:dyDescent="0.15">
      <c r="A111" t="s">
        <v>72</v>
      </c>
      <c r="B111" t="s">
        <v>1869</v>
      </c>
      <c r="C111" t="s">
        <v>74</v>
      </c>
      <c r="D111" t="s">
        <v>74</v>
      </c>
      <c r="E111" t="s">
        <v>74</v>
      </c>
      <c r="F111" t="s">
        <v>1869</v>
      </c>
      <c r="G111" t="s">
        <v>74</v>
      </c>
      <c r="H111" t="s">
        <v>74</v>
      </c>
      <c r="I111" t="s">
        <v>1870</v>
      </c>
      <c r="J111" t="s">
        <v>263</v>
      </c>
      <c r="K111" t="s">
        <v>74</v>
      </c>
      <c r="L111" t="s">
        <v>74</v>
      </c>
      <c r="M111" t="s">
        <v>77</v>
      </c>
      <c r="N111" t="s">
        <v>153</v>
      </c>
      <c r="O111" t="s">
        <v>74</v>
      </c>
      <c r="P111" t="s">
        <v>74</v>
      </c>
      <c r="Q111" t="s">
        <v>74</v>
      </c>
      <c r="R111" t="s">
        <v>74</v>
      </c>
      <c r="S111" t="s">
        <v>74</v>
      </c>
      <c r="T111" t="s">
        <v>74</v>
      </c>
      <c r="U111" t="s">
        <v>1871</v>
      </c>
      <c r="V111" t="s">
        <v>1872</v>
      </c>
      <c r="W111" t="s">
        <v>1873</v>
      </c>
      <c r="X111" t="s">
        <v>323</v>
      </c>
      <c r="Y111" t="s">
        <v>1874</v>
      </c>
      <c r="Z111" t="s">
        <v>74</v>
      </c>
      <c r="AA111" t="s">
        <v>1875</v>
      </c>
      <c r="AB111" t="s">
        <v>1876</v>
      </c>
      <c r="AC111" t="s">
        <v>74</v>
      </c>
      <c r="AD111" t="s">
        <v>74</v>
      </c>
      <c r="AE111" t="s">
        <v>74</v>
      </c>
      <c r="AF111" t="s">
        <v>74</v>
      </c>
      <c r="AG111">
        <v>47</v>
      </c>
      <c r="AH111">
        <v>20</v>
      </c>
      <c r="AI111">
        <v>21</v>
      </c>
      <c r="AJ111">
        <v>0</v>
      </c>
      <c r="AK111">
        <v>6</v>
      </c>
      <c r="AL111" t="s">
        <v>290</v>
      </c>
      <c r="AM111" t="s">
        <v>195</v>
      </c>
      <c r="AN111" t="s">
        <v>291</v>
      </c>
      <c r="AO111" t="s">
        <v>272</v>
      </c>
      <c r="AP111" t="s">
        <v>74</v>
      </c>
      <c r="AQ111" t="s">
        <v>74</v>
      </c>
      <c r="AR111" t="s">
        <v>274</v>
      </c>
      <c r="AS111" t="s">
        <v>275</v>
      </c>
      <c r="AT111" t="s">
        <v>718</v>
      </c>
      <c r="AU111">
        <v>2002</v>
      </c>
      <c r="AV111">
        <v>25</v>
      </c>
      <c r="AW111">
        <v>6</v>
      </c>
      <c r="AX111" t="s">
        <v>74</v>
      </c>
      <c r="AY111" t="s">
        <v>74</v>
      </c>
      <c r="AZ111" t="s">
        <v>74</v>
      </c>
      <c r="BA111" t="s">
        <v>74</v>
      </c>
      <c r="BB111">
        <v>425</v>
      </c>
      <c r="BC111">
        <v>431</v>
      </c>
      <c r="BD111" t="s">
        <v>74</v>
      </c>
      <c r="BE111" t="s">
        <v>1877</v>
      </c>
      <c r="BF111" t="str">
        <f>HYPERLINK("http://dx.doi.org/10.1007/s00300-002-0360-4","http://dx.doi.org/10.1007/s00300-002-0360-4")</f>
        <v>http://dx.doi.org/10.1007/s00300-002-0360-4</v>
      </c>
      <c r="BG111" t="s">
        <v>74</v>
      </c>
      <c r="BH111" t="s">
        <v>74</v>
      </c>
      <c r="BI111">
        <v>7</v>
      </c>
      <c r="BJ111" t="s">
        <v>277</v>
      </c>
      <c r="BK111" t="s">
        <v>170</v>
      </c>
      <c r="BL111" t="s">
        <v>278</v>
      </c>
      <c r="BM111" t="s">
        <v>1867</v>
      </c>
      <c r="BN111" t="s">
        <v>74</v>
      </c>
      <c r="BO111" t="s">
        <v>74</v>
      </c>
      <c r="BP111" t="s">
        <v>74</v>
      </c>
      <c r="BQ111" t="s">
        <v>74</v>
      </c>
      <c r="BR111" t="s">
        <v>107</v>
      </c>
      <c r="BS111" t="s">
        <v>1878</v>
      </c>
      <c r="BT111" t="str">
        <f>HYPERLINK("https%3A%2F%2Fwww.webofscience.com%2Fwos%2Fwoscc%2Ffull-record%2FWOS:000176332300004","View Full Record in Web of Science")</f>
        <v>View Full Record in Web of Science</v>
      </c>
    </row>
    <row r="112" spans="1:72" x14ac:dyDescent="0.15">
      <c r="A112" t="s">
        <v>72</v>
      </c>
      <c r="B112" t="s">
        <v>1879</v>
      </c>
      <c r="C112" t="s">
        <v>74</v>
      </c>
      <c r="D112" t="s">
        <v>74</v>
      </c>
      <c r="E112" t="s">
        <v>74</v>
      </c>
      <c r="F112" t="s">
        <v>1879</v>
      </c>
      <c r="G112" t="s">
        <v>74</v>
      </c>
      <c r="H112" t="s">
        <v>74</v>
      </c>
      <c r="I112" t="s">
        <v>1880</v>
      </c>
      <c r="J112" t="s">
        <v>263</v>
      </c>
      <c r="K112" t="s">
        <v>74</v>
      </c>
      <c r="L112" t="s">
        <v>74</v>
      </c>
      <c r="M112" t="s">
        <v>77</v>
      </c>
      <c r="N112" t="s">
        <v>153</v>
      </c>
      <c r="O112" t="s">
        <v>74</v>
      </c>
      <c r="P112" t="s">
        <v>74</v>
      </c>
      <c r="Q112" t="s">
        <v>74</v>
      </c>
      <c r="R112" t="s">
        <v>74</v>
      </c>
      <c r="S112" t="s">
        <v>74</v>
      </c>
      <c r="T112" t="s">
        <v>74</v>
      </c>
      <c r="U112" t="s">
        <v>1881</v>
      </c>
      <c r="V112" t="s">
        <v>1882</v>
      </c>
      <c r="W112" t="s">
        <v>1883</v>
      </c>
      <c r="X112" t="s">
        <v>1884</v>
      </c>
      <c r="Y112" t="s">
        <v>1885</v>
      </c>
      <c r="Z112" t="s">
        <v>74</v>
      </c>
      <c r="AA112" t="s">
        <v>74</v>
      </c>
      <c r="AB112" t="s">
        <v>1886</v>
      </c>
      <c r="AC112" t="s">
        <v>74</v>
      </c>
      <c r="AD112" t="s">
        <v>74</v>
      </c>
      <c r="AE112" t="s">
        <v>74</v>
      </c>
      <c r="AF112" t="s">
        <v>74</v>
      </c>
      <c r="AG112">
        <v>42</v>
      </c>
      <c r="AH112">
        <v>12</v>
      </c>
      <c r="AI112">
        <v>14</v>
      </c>
      <c r="AJ112">
        <v>0</v>
      </c>
      <c r="AK112">
        <v>3</v>
      </c>
      <c r="AL112" t="s">
        <v>290</v>
      </c>
      <c r="AM112" t="s">
        <v>195</v>
      </c>
      <c r="AN112" t="s">
        <v>291</v>
      </c>
      <c r="AO112" t="s">
        <v>272</v>
      </c>
      <c r="AP112" t="s">
        <v>74</v>
      </c>
      <c r="AQ112" t="s">
        <v>74</v>
      </c>
      <c r="AR112" t="s">
        <v>274</v>
      </c>
      <c r="AS112" t="s">
        <v>275</v>
      </c>
      <c r="AT112" t="s">
        <v>718</v>
      </c>
      <c r="AU112">
        <v>2002</v>
      </c>
      <c r="AV112">
        <v>25</v>
      </c>
      <c r="AW112">
        <v>6</v>
      </c>
      <c r="AX112" t="s">
        <v>74</v>
      </c>
      <c r="AY112" t="s">
        <v>74</v>
      </c>
      <c r="AZ112" t="s">
        <v>74</v>
      </c>
      <c r="BA112" t="s">
        <v>74</v>
      </c>
      <c r="BB112">
        <v>453</v>
      </c>
      <c r="BC112">
        <v>459</v>
      </c>
      <c r="BD112" t="s">
        <v>74</v>
      </c>
      <c r="BE112" t="s">
        <v>1887</v>
      </c>
      <c r="BF112" t="str">
        <f>HYPERLINK("http://dx.doi.org/10.1007/s00300-002-0365-z","http://dx.doi.org/10.1007/s00300-002-0365-z")</f>
        <v>http://dx.doi.org/10.1007/s00300-002-0365-z</v>
      </c>
      <c r="BG112" t="s">
        <v>74</v>
      </c>
      <c r="BH112" t="s">
        <v>74</v>
      </c>
      <c r="BI112">
        <v>7</v>
      </c>
      <c r="BJ112" t="s">
        <v>277</v>
      </c>
      <c r="BK112" t="s">
        <v>170</v>
      </c>
      <c r="BL112" t="s">
        <v>278</v>
      </c>
      <c r="BM112" t="s">
        <v>1867</v>
      </c>
      <c r="BN112" t="s">
        <v>74</v>
      </c>
      <c r="BO112" t="s">
        <v>74</v>
      </c>
      <c r="BP112" t="s">
        <v>74</v>
      </c>
      <c r="BQ112" t="s">
        <v>74</v>
      </c>
      <c r="BR112" t="s">
        <v>107</v>
      </c>
      <c r="BS112" t="s">
        <v>1888</v>
      </c>
      <c r="BT112" t="str">
        <f>HYPERLINK("https%3A%2F%2Fwww.webofscience.com%2Fwos%2Fwoscc%2Ffull-record%2FWOS:000176332300008","View Full Record in Web of Science")</f>
        <v>View Full Record in Web of Science</v>
      </c>
    </row>
    <row r="113" spans="1:72" x14ac:dyDescent="0.15">
      <c r="A113" t="s">
        <v>72</v>
      </c>
      <c r="B113" t="s">
        <v>1889</v>
      </c>
      <c r="C113" t="s">
        <v>74</v>
      </c>
      <c r="D113" t="s">
        <v>74</v>
      </c>
      <c r="E113" t="s">
        <v>74</v>
      </c>
      <c r="F113" t="s">
        <v>1889</v>
      </c>
      <c r="G113" t="s">
        <v>74</v>
      </c>
      <c r="H113" t="s">
        <v>74</v>
      </c>
      <c r="I113" t="s">
        <v>1890</v>
      </c>
      <c r="J113" t="s">
        <v>263</v>
      </c>
      <c r="K113" t="s">
        <v>74</v>
      </c>
      <c r="L113" t="s">
        <v>74</v>
      </c>
      <c r="M113" t="s">
        <v>77</v>
      </c>
      <c r="N113" t="s">
        <v>153</v>
      </c>
      <c r="O113" t="s">
        <v>74</v>
      </c>
      <c r="P113" t="s">
        <v>74</v>
      </c>
      <c r="Q113" t="s">
        <v>74</v>
      </c>
      <c r="R113" t="s">
        <v>74</v>
      </c>
      <c r="S113" t="s">
        <v>74</v>
      </c>
      <c r="T113" t="s">
        <v>74</v>
      </c>
      <c r="U113" t="s">
        <v>1891</v>
      </c>
      <c r="V113" t="s">
        <v>1892</v>
      </c>
      <c r="W113" t="s">
        <v>1893</v>
      </c>
      <c r="X113" t="s">
        <v>1894</v>
      </c>
      <c r="Y113" t="s">
        <v>1895</v>
      </c>
      <c r="Z113" t="s">
        <v>1896</v>
      </c>
      <c r="AA113" t="s">
        <v>1897</v>
      </c>
      <c r="AB113" t="s">
        <v>1898</v>
      </c>
      <c r="AC113" t="s">
        <v>74</v>
      </c>
      <c r="AD113" t="s">
        <v>74</v>
      </c>
      <c r="AE113" t="s">
        <v>74</v>
      </c>
      <c r="AF113" t="s">
        <v>74</v>
      </c>
      <c r="AG113">
        <v>40</v>
      </c>
      <c r="AH113">
        <v>19</v>
      </c>
      <c r="AI113">
        <v>20</v>
      </c>
      <c r="AJ113">
        <v>1</v>
      </c>
      <c r="AK113">
        <v>13</v>
      </c>
      <c r="AL113" t="s">
        <v>194</v>
      </c>
      <c r="AM113" t="s">
        <v>195</v>
      </c>
      <c r="AN113" t="s">
        <v>271</v>
      </c>
      <c r="AO113" t="s">
        <v>272</v>
      </c>
      <c r="AP113" t="s">
        <v>273</v>
      </c>
      <c r="AQ113" t="s">
        <v>74</v>
      </c>
      <c r="AR113" t="s">
        <v>274</v>
      </c>
      <c r="AS113" t="s">
        <v>275</v>
      </c>
      <c r="AT113" t="s">
        <v>718</v>
      </c>
      <c r="AU113">
        <v>2002</v>
      </c>
      <c r="AV113">
        <v>25</v>
      </c>
      <c r="AW113">
        <v>6</v>
      </c>
      <c r="AX113" t="s">
        <v>74</v>
      </c>
      <c r="AY113" t="s">
        <v>74</v>
      </c>
      <c r="AZ113" t="s">
        <v>74</v>
      </c>
      <c r="BA113" t="s">
        <v>74</v>
      </c>
      <c r="BB113">
        <v>469</v>
      </c>
      <c r="BC113">
        <v>473</v>
      </c>
      <c r="BD113" t="s">
        <v>74</v>
      </c>
      <c r="BE113" t="s">
        <v>1899</v>
      </c>
      <c r="BF113" t="str">
        <f>HYPERLINK("http://dx.doi.org/10.1007/s00300-002-0368-9","http://dx.doi.org/10.1007/s00300-002-0368-9")</f>
        <v>http://dx.doi.org/10.1007/s00300-002-0368-9</v>
      </c>
      <c r="BG113" t="s">
        <v>74</v>
      </c>
      <c r="BH113" t="s">
        <v>74</v>
      </c>
      <c r="BI113">
        <v>5</v>
      </c>
      <c r="BJ113" t="s">
        <v>277</v>
      </c>
      <c r="BK113" t="s">
        <v>170</v>
      </c>
      <c r="BL113" t="s">
        <v>278</v>
      </c>
      <c r="BM113" t="s">
        <v>1867</v>
      </c>
      <c r="BN113" t="s">
        <v>74</v>
      </c>
      <c r="BO113" t="s">
        <v>74</v>
      </c>
      <c r="BP113" t="s">
        <v>74</v>
      </c>
      <c r="BQ113" t="s">
        <v>74</v>
      </c>
      <c r="BR113" t="s">
        <v>107</v>
      </c>
      <c r="BS113" t="s">
        <v>1900</v>
      </c>
      <c r="BT113" t="str">
        <f>HYPERLINK("https%3A%2F%2Fwww.webofscience.com%2Fwos%2Fwoscc%2Ffull-record%2FWOS:000176332300010","View Full Record in Web of Science")</f>
        <v>View Full Record in Web of Science</v>
      </c>
    </row>
    <row r="114" spans="1:72" x14ac:dyDescent="0.15">
      <c r="A114" t="s">
        <v>72</v>
      </c>
      <c r="B114" t="s">
        <v>1901</v>
      </c>
      <c r="C114" t="s">
        <v>74</v>
      </c>
      <c r="D114" t="s">
        <v>74</v>
      </c>
      <c r="E114" t="s">
        <v>74</v>
      </c>
      <c r="F114" t="s">
        <v>1901</v>
      </c>
      <c r="G114" t="s">
        <v>74</v>
      </c>
      <c r="H114" t="s">
        <v>74</v>
      </c>
      <c r="I114" t="s">
        <v>1902</v>
      </c>
      <c r="J114" t="s">
        <v>1903</v>
      </c>
      <c r="K114" t="s">
        <v>74</v>
      </c>
      <c r="L114" t="s">
        <v>74</v>
      </c>
      <c r="M114" t="s">
        <v>77</v>
      </c>
      <c r="N114" t="s">
        <v>153</v>
      </c>
      <c r="O114" t="s">
        <v>74</v>
      </c>
      <c r="P114" t="s">
        <v>74</v>
      </c>
      <c r="Q114" t="s">
        <v>74</v>
      </c>
      <c r="R114" t="s">
        <v>74</v>
      </c>
      <c r="S114" t="s">
        <v>74</v>
      </c>
      <c r="T114" t="s">
        <v>1904</v>
      </c>
      <c r="U114" t="s">
        <v>1905</v>
      </c>
      <c r="V114" t="s">
        <v>1906</v>
      </c>
      <c r="W114" t="s">
        <v>1907</v>
      </c>
      <c r="X114" t="s">
        <v>1908</v>
      </c>
      <c r="Y114" t="s">
        <v>1909</v>
      </c>
      <c r="Z114" t="s">
        <v>74</v>
      </c>
      <c r="AA114" t="s">
        <v>1910</v>
      </c>
      <c r="AB114" t="s">
        <v>1911</v>
      </c>
      <c r="AC114" t="s">
        <v>74</v>
      </c>
      <c r="AD114" t="s">
        <v>74</v>
      </c>
      <c r="AE114" t="s">
        <v>74</v>
      </c>
      <c r="AF114" t="s">
        <v>74</v>
      </c>
      <c r="AG114">
        <v>24</v>
      </c>
      <c r="AH114">
        <v>54</v>
      </c>
      <c r="AI114">
        <v>64</v>
      </c>
      <c r="AJ114">
        <v>0</v>
      </c>
      <c r="AK114">
        <v>19</v>
      </c>
      <c r="AL114" t="s">
        <v>1912</v>
      </c>
      <c r="AM114" t="s">
        <v>1913</v>
      </c>
      <c r="AN114" t="s">
        <v>1914</v>
      </c>
      <c r="AO114" t="s">
        <v>1915</v>
      </c>
      <c r="AP114" t="s">
        <v>74</v>
      </c>
      <c r="AQ114" t="s">
        <v>74</v>
      </c>
      <c r="AR114" t="s">
        <v>1916</v>
      </c>
      <c r="AS114" t="s">
        <v>1917</v>
      </c>
      <c r="AT114" t="s">
        <v>718</v>
      </c>
      <c r="AU114">
        <v>2002</v>
      </c>
      <c r="AV114">
        <v>66</v>
      </c>
      <c r="AW114">
        <v>2</v>
      </c>
      <c r="AX114" t="s">
        <v>74</v>
      </c>
      <c r="AY114" t="s">
        <v>74</v>
      </c>
      <c r="AZ114" t="s">
        <v>74</v>
      </c>
      <c r="BA114" t="s">
        <v>74</v>
      </c>
      <c r="BB114">
        <v>123</v>
      </c>
      <c r="BC114">
        <v>133</v>
      </c>
      <c r="BD114" t="s">
        <v>74</v>
      </c>
      <c r="BE114" t="s">
        <v>1918</v>
      </c>
      <c r="BF114" t="str">
        <f>HYPERLINK("http://dx.doi.org/10.3989/scimar.2002.66n2123","http://dx.doi.org/10.3989/scimar.2002.66n2123")</f>
        <v>http://dx.doi.org/10.3989/scimar.2002.66n2123</v>
      </c>
      <c r="BG114" t="s">
        <v>74</v>
      </c>
      <c r="BH114" t="s">
        <v>74</v>
      </c>
      <c r="BI114">
        <v>11</v>
      </c>
      <c r="BJ114" t="s">
        <v>1919</v>
      </c>
      <c r="BK114" t="s">
        <v>170</v>
      </c>
      <c r="BL114" t="s">
        <v>1919</v>
      </c>
      <c r="BM114" t="s">
        <v>1920</v>
      </c>
      <c r="BN114" t="s">
        <v>74</v>
      </c>
      <c r="BO114" t="s">
        <v>1921</v>
      </c>
      <c r="BP114" t="s">
        <v>74</v>
      </c>
      <c r="BQ114" t="s">
        <v>74</v>
      </c>
      <c r="BR114" t="s">
        <v>107</v>
      </c>
      <c r="BS114" t="s">
        <v>1922</v>
      </c>
      <c r="BT114" t="str">
        <f>HYPERLINK("https%3A%2F%2Fwww.webofscience.com%2Fwos%2Fwoscc%2Ffull-record%2FWOS:000175913100004","View Full Record in Web of Science")</f>
        <v>View Full Record in Web of Science</v>
      </c>
    </row>
    <row r="115" spans="1:72" x14ac:dyDescent="0.15">
      <c r="A115" t="s">
        <v>72</v>
      </c>
      <c r="B115" t="s">
        <v>1923</v>
      </c>
      <c r="C115" t="s">
        <v>74</v>
      </c>
      <c r="D115" t="s">
        <v>74</v>
      </c>
      <c r="E115" t="s">
        <v>74</v>
      </c>
      <c r="F115" t="s">
        <v>1923</v>
      </c>
      <c r="G115" t="s">
        <v>74</v>
      </c>
      <c r="H115" t="s">
        <v>74</v>
      </c>
      <c r="I115" t="s">
        <v>1924</v>
      </c>
      <c r="J115" t="s">
        <v>1925</v>
      </c>
      <c r="K115" t="s">
        <v>74</v>
      </c>
      <c r="L115" t="s">
        <v>74</v>
      </c>
      <c r="M115" t="s">
        <v>77</v>
      </c>
      <c r="N115" t="s">
        <v>153</v>
      </c>
      <c r="O115" t="s">
        <v>74</v>
      </c>
      <c r="P115" t="s">
        <v>74</v>
      </c>
      <c r="Q115" t="s">
        <v>74</v>
      </c>
      <c r="R115" t="s">
        <v>74</v>
      </c>
      <c r="S115" t="s">
        <v>74</v>
      </c>
      <c r="T115" t="s">
        <v>1926</v>
      </c>
      <c r="U115" t="s">
        <v>1927</v>
      </c>
      <c r="V115" t="s">
        <v>1928</v>
      </c>
      <c r="W115" t="s">
        <v>1929</v>
      </c>
      <c r="X115" t="s">
        <v>1930</v>
      </c>
      <c r="Y115" t="s">
        <v>1931</v>
      </c>
      <c r="Z115" t="s">
        <v>1932</v>
      </c>
      <c r="AA115" t="s">
        <v>74</v>
      </c>
      <c r="AB115" t="s">
        <v>74</v>
      </c>
      <c r="AC115" t="s">
        <v>74</v>
      </c>
      <c r="AD115" t="s">
        <v>74</v>
      </c>
      <c r="AE115" t="s">
        <v>74</v>
      </c>
      <c r="AF115" t="s">
        <v>74</v>
      </c>
      <c r="AG115">
        <v>81</v>
      </c>
      <c r="AH115">
        <v>4</v>
      </c>
      <c r="AI115">
        <v>5</v>
      </c>
      <c r="AJ115">
        <v>7</v>
      </c>
      <c r="AK115">
        <v>52</v>
      </c>
      <c r="AL115" t="s">
        <v>1925</v>
      </c>
      <c r="AM115" t="s">
        <v>1933</v>
      </c>
      <c r="AN115" t="s">
        <v>1934</v>
      </c>
      <c r="AO115" t="s">
        <v>1935</v>
      </c>
      <c r="AP115" t="s">
        <v>1936</v>
      </c>
      <c r="AQ115" t="s">
        <v>74</v>
      </c>
      <c r="AR115" t="s">
        <v>1937</v>
      </c>
      <c r="AS115" t="s">
        <v>1938</v>
      </c>
      <c r="AT115" t="s">
        <v>718</v>
      </c>
      <c r="AU115">
        <v>2002</v>
      </c>
      <c r="AV115">
        <v>8</v>
      </c>
      <c r="AW115">
        <v>2</v>
      </c>
      <c r="AX115" t="s">
        <v>74</v>
      </c>
      <c r="AY115" t="s">
        <v>74</v>
      </c>
      <c r="AZ115" t="s">
        <v>74</v>
      </c>
      <c r="BA115" t="s">
        <v>74</v>
      </c>
      <c r="BB115">
        <v>129</v>
      </c>
      <c r="BC115">
        <v>136</v>
      </c>
      <c r="BD115" t="s">
        <v>74</v>
      </c>
      <c r="BE115" t="s">
        <v>1939</v>
      </c>
      <c r="BF115" t="str">
        <f>HYPERLINK("http://dx.doi.org/10.2981/wlb.2002.017","http://dx.doi.org/10.2981/wlb.2002.017")</f>
        <v>http://dx.doi.org/10.2981/wlb.2002.017</v>
      </c>
      <c r="BG115" t="s">
        <v>74</v>
      </c>
      <c r="BH115" t="s">
        <v>74</v>
      </c>
      <c r="BI115">
        <v>8</v>
      </c>
      <c r="BJ115" t="s">
        <v>1940</v>
      </c>
      <c r="BK115" t="s">
        <v>170</v>
      </c>
      <c r="BL115" t="s">
        <v>1941</v>
      </c>
      <c r="BM115" t="s">
        <v>1942</v>
      </c>
      <c r="BN115" t="s">
        <v>74</v>
      </c>
      <c r="BO115" t="s">
        <v>173</v>
      </c>
      <c r="BP115" t="s">
        <v>74</v>
      </c>
      <c r="BQ115" t="s">
        <v>74</v>
      </c>
      <c r="BR115" t="s">
        <v>107</v>
      </c>
      <c r="BS115" t="s">
        <v>1943</v>
      </c>
      <c r="BT115" t="str">
        <f>HYPERLINK("https%3A%2F%2Fwww.webofscience.com%2Fwos%2Fwoscc%2Ffull-record%2FWOS:000176432800006","View Full Record in Web of Science")</f>
        <v>View Full Record in Web of Science</v>
      </c>
    </row>
    <row r="116" spans="1:72" x14ac:dyDescent="0.15">
      <c r="A116" t="s">
        <v>72</v>
      </c>
      <c r="B116" t="s">
        <v>1944</v>
      </c>
      <c r="C116" t="s">
        <v>74</v>
      </c>
      <c r="D116" t="s">
        <v>74</v>
      </c>
      <c r="E116" t="s">
        <v>74</v>
      </c>
      <c r="F116" t="s">
        <v>1944</v>
      </c>
      <c r="G116" t="s">
        <v>74</v>
      </c>
      <c r="H116" t="s">
        <v>74</v>
      </c>
      <c r="I116" t="s">
        <v>1945</v>
      </c>
      <c r="J116" t="s">
        <v>1946</v>
      </c>
      <c r="K116" t="s">
        <v>74</v>
      </c>
      <c r="L116" t="s">
        <v>74</v>
      </c>
      <c r="M116" t="s">
        <v>77</v>
      </c>
      <c r="N116" t="s">
        <v>153</v>
      </c>
      <c r="O116" t="s">
        <v>74</v>
      </c>
      <c r="P116" t="s">
        <v>74</v>
      </c>
      <c r="Q116" t="s">
        <v>74</v>
      </c>
      <c r="R116" t="s">
        <v>74</v>
      </c>
      <c r="S116" t="s">
        <v>74</v>
      </c>
      <c r="T116" t="s">
        <v>1947</v>
      </c>
      <c r="U116" t="s">
        <v>1948</v>
      </c>
      <c r="V116" t="s">
        <v>1949</v>
      </c>
      <c r="W116" t="s">
        <v>1950</v>
      </c>
      <c r="X116" t="s">
        <v>1951</v>
      </c>
      <c r="Y116" t="s">
        <v>1952</v>
      </c>
      <c r="Z116" t="s">
        <v>1953</v>
      </c>
      <c r="AA116" t="s">
        <v>74</v>
      </c>
      <c r="AB116" t="s">
        <v>1954</v>
      </c>
      <c r="AC116" t="s">
        <v>74</v>
      </c>
      <c r="AD116" t="s">
        <v>74</v>
      </c>
      <c r="AE116" t="s">
        <v>74</v>
      </c>
      <c r="AF116" t="s">
        <v>74</v>
      </c>
      <c r="AG116">
        <v>27</v>
      </c>
      <c r="AH116">
        <v>19</v>
      </c>
      <c r="AI116">
        <v>21</v>
      </c>
      <c r="AJ116">
        <v>0</v>
      </c>
      <c r="AK116">
        <v>3</v>
      </c>
      <c r="AL116" t="s">
        <v>394</v>
      </c>
      <c r="AM116" t="s">
        <v>395</v>
      </c>
      <c r="AN116" t="s">
        <v>396</v>
      </c>
      <c r="AO116" t="s">
        <v>1955</v>
      </c>
      <c r="AP116" t="s">
        <v>74</v>
      </c>
      <c r="AQ116" t="s">
        <v>74</v>
      </c>
      <c r="AR116" t="s">
        <v>1956</v>
      </c>
      <c r="AS116" t="s">
        <v>1957</v>
      </c>
      <c r="AT116" t="s">
        <v>742</v>
      </c>
      <c r="AU116">
        <v>2002</v>
      </c>
      <c r="AV116">
        <v>30</v>
      </c>
      <c r="AW116">
        <v>2</v>
      </c>
      <c r="AX116" t="s">
        <v>74</v>
      </c>
      <c r="AY116" t="s">
        <v>74</v>
      </c>
      <c r="AZ116" t="s">
        <v>74</v>
      </c>
      <c r="BA116" t="s">
        <v>74</v>
      </c>
      <c r="BB116">
        <v>394</v>
      </c>
      <c r="BC116">
        <v>404</v>
      </c>
      <c r="BD116" t="s">
        <v>74</v>
      </c>
      <c r="BE116" t="s">
        <v>74</v>
      </c>
      <c r="BF116" t="s">
        <v>74</v>
      </c>
      <c r="BG116" t="s">
        <v>74</v>
      </c>
      <c r="BH116" t="s">
        <v>74</v>
      </c>
      <c r="BI116">
        <v>11</v>
      </c>
      <c r="BJ116" t="s">
        <v>1958</v>
      </c>
      <c r="BK116" t="s">
        <v>170</v>
      </c>
      <c r="BL116" t="s">
        <v>1959</v>
      </c>
      <c r="BM116" t="s">
        <v>1960</v>
      </c>
      <c r="BN116" t="s">
        <v>74</v>
      </c>
      <c r="BO116" t="s">
        <v>74</v>
      </c>
      <c r="BP116" t="s">
        <v>74</v>
      </c>
      <c r="BQ116" t="s">
        <v>74</v>
      </c>
      <c r="BR116" t="s">
        <v>107</v>
      </c>
      <c r="BS116" t="s">
        <v>1961</v>
      </c>
      <c r="BT116" t="str">
        <f>HYPERLINK("https%3A%2F%2Fwww.webofscience.com%2Fwos%2Fwoscc%2Ffull-record%2FWOS:000176822700012","View Full Record in Web of Science")</f>
        <v>View Full Record in Web of Science</v>
      </c>
    </row>
    <row r="117" spans="1:72" x14ac:dyDescent="0.15">
      <c r="A117" t="s">
        <v>72</v>
      </c>
      <c r="B117" t="s">
        <v>1962</v>
      </c>
      <c r="C117" t="s">
        <v>74</v>
      </c>
      <c r="D117" t="s">
        <v>74</v>
      </c>
      <c r="E117" t="s">
        <v>74</v>
      </c>
      <c r="F117" t="s">
        <v>1962</v>
      </c>
      <c r="G117" t="s">
        <v>74</v>
      </c>
      <c r="H117" t="s">
        <v>74</v>
      </c>
      <c r="I117" t="s">
        <v>1963</v>
      </c>
      <c r="J117" t="s">
        <v>1964</v>
      </c>
      <c r="K117" t="s">
        <v>74</v>
      </c>
      <c r="L117" t="s">
        <v>74</v>
      </c>
      <c r="M117" t="s">
        <v>77</v>
      </c>
      <c r="N117" t="s">
        <v>153</v>
      </c>
      <c r="O117" t="s">
        <v>74</v>
      </c>
      <c r="P117" t="s">
        <v>74</v>
      </c>
      <c r="Q117" t="s">
        <v>74</v>
      </c>
      <c r="R117" t="s">
        <v>74</v>
      </c>
      <c r="S117" t="s">
        <v>74</v>
      </c>
      <c r="T117" t="s">
        <v>74</v>
      </c>
      <c r="U117" t="s">
        <v>1965</v>
      </c>
      <c r="V117" t="s">
        <v>1966</v>
      </c>
      <c r="W117" t="s">
        <v>1967</v>
      </c>
      <c r="X117" t="s">
        <v>1968</v>
      </c>
      <c r="Y117" t="s">
        <v>1969</v>
      </c>
      <c r="Z117" t="s">
        <v>1970</v>
      </c>
      <c r="AA117" t="s">
        <v>1971</v>
      </c>
      <c r="AB117" t="s">
        <v>74</v>
      </c>
      <c r="AC117" t="s">
        <v>74</v>
      </c>
      <c r="AD117" t="s">
        <v>74</v>
      </c>
      <c r="AE117" t="s">
        <v>74</v>
      </c>
      <c r="AF117" t="s">
        <v>74</v>
      </c>
      <c r="AG117">
        <v>34</v>
      </c>
      <c r="AH117">
        <v>10</v>
      </c>
      <c r="AI117">
        <v>11</v>
      </c>
      <c r="AJ117">
        <v>0</v>
      </c>
      <c r="AK117">
        <v>3</v>
      </c>
      <c r="AL117" t="s">
        <v>1972</v>
      </c>
      <c r="AM117" t="s">
        <v>1973</v>
      </c>
      <c r="AN117" t="s">
        <v>1974</v>
      </c>
      <c r="AO117" t="s">
        <v>1975</v>
      </c>
      <c r="AP117" t="s">
        <v>1976</v>
      </c>
      <c r="AQ117" t="s">
        <v>74</v>
      </c>
      <c r="AR117" t="s">
        <v>1964</v>
      </c>
      <c r="AS117" t="s">
        <v>1977</v>
      </c>
      <c r="AT117" t="s">
        <v>1978</v>
      </c>
      <c r="AU117">
        <v>2002</v>
      </c>
      <c r="AV117" t="s">
        <v>74</v>
      </c>
      <c r="AW117">
        <v>2</v>
      </c>
      <c r="AX117" t="s">
        <v>74</v>
      </c>
      <c r="AY117" t="s">
        <v>74</v>
      </c>
      <c r="AZ117" t="s">
        <v>74</v>
      </c>
      <c r="BA117" t="s">
        <v>74</v>
      </c>
      <c r="BB117">
        <v>433</v>
      </c>
      <c r="BC117">
        <v>440</v>
      </c>
      <c r="BD117" t="s">
        <v>74</v>
      </c>
      <c r="BE117" t="s">
        <v>74</v>
      </c>
      <c r="BF117" t="s">
        <v>74</v>
      </c>
      <c r="BG117" t="s">
        <v>74</v>
      </c>
      <c r="BH117" t="s">
        <v>74</v>
      </c>
      <c r="BI117">
        <v>8</v>
      </c>
      <c r="BJ117" t="s">
        <v>1001</v>
      </c>
      <c r="BK117" t="s">
        <v>170</v>
      </c>
      <c r="BL117" t="s">
        <v>1001</v>
      </c>
      <c r="BM117" t="s">
        <v>1979</v>
      </c>
      <c r="BN117" t="s">
        <v>74</v>
      </c>
      <c r="BO117" t="s">
        <v>74</v>
      </c>
      <c r="BP117" t="s">
        <v>74</v>
      </c>
      <c r="BQ117" t="s">
        <v>74</v>
      </c>
      <c r="BR117" t="s">
        <v>107</v>
      </c>
      <c r="BS117" t="s">
        <v>1980</v>
      </c>
      <c r="BT117" t="str">
        <f>HYPERLINK("https%3A%2F%2Fwww.webofscience.com%2Fwos%2Fwoscc%2Ffull-record%2FWOS:000175771000016","View Full Record in Web of Science")</f>
        <v>View Full Record in Web of Science</v>
      </c>
    </row>
    <row r="118" spans="1:72" x14ac:dyDescent="0.15">
      <c r="A118" t="s">
        <v>72</v>
      </c>
      <c r="B118" t="s">
        <v>1981</v>
      </c>
      <c r="C118" t="s">
        <v>74</v>
      </c>
      <c r="D118" t="s">
        <v>74</v>
      </c>
      <c r="E118" t="s">
        <v>74</v>
      </c>
      <c r="F118" t="s">
        <v>1981</v>
      </c>
      <c r="G118" t="s">
        <v>74</v>
      </c>
      <c r="H118" t="s">
        <v>74</v>
      </c>
      <c r="I118" t="s">
        <v>1982</v>
      </c>
      <c r="J118" t="s">
        <v>76</v>
      </c>
      <c r="K118" t="s">
        <v>74</v>
      </c>
      <c r="L118" t="s">
        <v>74</v>
      </c>
      <c r="M118" t="s">
        <v>77</v>
      </c>
      <c r="N118" t="s">
        <v>947</v>
      </c>
      <c r="O118" t="s">
        <v>74</v>
      </c>
      <c r="P118" t="s">
        <v>74</v>
      </c>
      <c r="Q118" t="s">
        <v>74</v>
      </c>
      <c r="R118" t="s">
        <v>74</v>
      </c>
      <c r="S118" t="s">
        <v>74</v>
      </c>
      <c r="T118" t="s">
        <v>1983</v>
      </c>
      <c r="U118" t="s">
        <v>1984</v>
      </c>
      <c r="V118" t="s">
        <v>1985</v>
      </c>
      <c r="W118" t="s">
        <v>1986</v>
      </c>
      <c r="X118" t="s">
        <v>1987</v>
      </c>
      <c r="Y118" t="s">
        <v>1988</v>
      </c>
      <c r="Z118" t="s">
        <v>1989</v>
      </c>
      <c r="AA118" t="s">
        <v>1990</v>
      </c>
      <c r="AB118" t="s">
        <v>1991</v>
      </c>
      <c r="AC118" t="s">
        <v>74</v>
      </c>
      <c r="AD118" t="s">
        <v>74</v>
      </c>
      <c r="AE118" t="s">
        <v>74</v>
      </c>
      <c r="AF118" t="s">
        <v>74</v>
      </c>
      <c r="AG118">
        <v>110</v>
      </c>
      <c r="AH118">
        <v>79</v>
      </c>
      <c r="AI118">
        <v>90</v>
      </c>
      <c r="AJ118">
        <v>1</v>
      </c>
      <c r="AK118">
        <v>31</v>
      </c>
      <c r="AL118" t="s">
        <v>90</v>
      </c>
      <c r="AM118" t="s">
        <v>91</v>
      </c>
      <c r="AN118" t="s">
        <v>92</v>
      </c>
      <c r="AO118" t="s">
        <v>93</v>
      </c>
      <c r="AP118" t="s">
        <v>94</v>
      </c>
      <c r="AQ118" t="s">
        <v>74</v>
      </c>
      <c r="AR118" t="s">
        <v>95</v>
      </c>
      <c r="AS118" t="s">
        <v>96</v>
      </c>
      <c r="AT118" t="s">
        <v>1992</v>
      </c>
      <c r="AU118">
        <v>2002</v>
      </c>
      <c r="AV118">
        <v>179</v>
      </c>
      <c r="AW118" t="s">
        <v>436</v>
      </c>
      <c r="AX118" t="s">
        <v>74</v>
      </c>
      <c r="AY118" t="s">
        <v>74</v>
      </c>
      <c r="AZ118" t="s">
        <v>74</v>
      </c>
      <c r="BA118" t="s">
        <v>74</v>
      </c>
      <c r="BB118">
        <v>189</v>
      </c>
      <c r="BC118">
        <v>210</v>
      </c>
      <c r="BD118" t="s">
        <v>1993</v>
      </c>
      <c r="BE118" t="s">
        <v>1994</v>
      </c>
      <c r="BF118" t="str">
        <f>HYPERLINK("http://dx.doi.org/10.1016/S0031-0182(01)00417-5","http://dx.doi.org/10.1016/S0031-0182(01)00417-5")</f>
        <v>http://dx.doi.org/10.1016/S0031-0182(01)00417-5</v>
      </c>
      <c r="BG118" t="s">
        <v>74</v>
      </c>
      <c r="BH118" t="s">
        <v>74</v>
      </c>
      <c r="BI118">
        <v>22</v>
      </c>
      <c r="BJ118" t="s">
        <v>102</v>
      </c>
      <c r="BK118" t="s">
        <v>170</v>
      </c>
      <c r="BL118" t="s">
        <v>104</v>
      </c>
      <c r="BM118" t="s">
        <v>1995</v>
      </c>
      <c r="BN118" t="s">
        <v>74</v>
      </c>
      <c r="BO118" t="s">
        <v>74</v>
      </c>
      <c r="BP118" t="s">
        <v>74</v>
      </c>
      <c r="BQ118" t="s">
        <v>74</v>
      </c>
      <c r="BR118" t="s">
        <v>107</v>
      </c>
      <c r="BS118" t="s">
        <v>1996</v>
      </c>
      <c r="BT118" t="str">
        <f>HYPERLINK("https%3A%2F%2Fwww.webofscience.com%2Fwos%2Fwoscc%2Ffull-record%2FWOS:000176150800003","View Full Record in Web of Science")</f>
        <v>View Full Record in Web of Science</v>
      </c>
    </row>
    <row r="119" spans="1:72" x14ac:dyDescent="0.15">
      <c r="A119" t="s">
        <v>72</v>
      </c>
      <c r="B119" t="s">
        <v>1997</v>
      </c>
      <c r="C119" t="s">
        <v>74</v>
      </c>
      <c r="D119" t="s">
        <v>74</v>
      </c>
      <c r="E119" t="s">
        <v>74</v>
      </c>
      <c r="F119" t="s">
        <v>1997</v>
      </c>
      <c r="G119" t="s">
        <v>74</v>
      </c>
      <c r="H119" t="s">
        <v>74</v>
      </c>
      <c r="I119" t="s">
        <v>1998</v>
      </c>
      <c r="J119" t="s">
        <v>76</v>
      </c>
      <c r="K119" t="s">
        <v>74</v>
      </c>
      <c r="L119" t="s">
        <v>74</v>
      </c>
      <c r="M119" t="s">
        <v>77</v>
      </c>
      <c r="N119" t="s">
        <v>947</v>
      </c>
      <c r="O119" t="s">
        <v>74</v>
      </c>
      <c r="P119" t="s">
        <v>74</v>
      </c>
      <c r="Q119" t="s">
        <v>74</v>
      </c>
      <c r="R119" t="s">
        <v>74</v>
      </c>
      <c r="S119" t="s">
        <v>74</v>
      </c>
      <c r="T119" t="s">
        <v>1999</v>
      </c>
      <c r="U119" t="s">
        <v>2000</v>
      </c>
      <c r="V119" t="s">
        <v>2001</v>
      </c>
      <c r="W119" t="s">
        <v>74</v>
      </c>
      <c r="X119" t="s">
        <v>74</v>
      </c>
      <c r="Y119" t="s">
        <v>2002</v>
      </c>
      <c r="Z119" t="s">
        <v>74</v>
      </c>
      <c r="AA119" t="s">
        <v>74</v>
      </c>
      <c r="AB119" t="s">
        <v>74</v>
      </c>
      <c r="AC119" t="s">
        <v>74</v>
      </c>
      <c r="AD119" t="s">
        <v>74</v>
      </c>
      <c r="AE119" t="s">
        <v>74</v>
      </c>
      <c r="AF119" t="s">
        <v>74</v>
      </c>
      <c r="AG119">
        <v>107</v>
      </c>
      <c r="AH119">
        <v>9</v>
      </c>
      <c r="AI119">
        <v>10</v>
      </c>
      <c r="AJ119">
        <v>1</v>
      </c>
      <c r="AK119">
        <v>7</v>
      </c>
      <c r="AL119" t="s">
        <v>132</v>
      </c>
      <c r="AM119" t="s">
        <v>91</v>
      </c>
      <c r="AN119" t="s">
        <v>133</v>
      </c>
      <c r="AO119" t="s">
        <v>93</v>
      </c>
      <c r="AP119" t="s">
        <v>74</v>
      </c>
      <c r="AQ119" t="s">
        <v>74</v>
      </c>
      <c r="AR119" t="s">
        <v>95</v>
      </c>
      <c r="AS119" t="s">
        <v>96</v>
      </c>
      <c r="AT119" t="s">
        <v>1992</v>
      </c>
      <c r="AU119">
        <v>2002</v>
      </c>
      <c r="AV119">
        <v>179</v>
      </c>
      <c r="AW119" t="s">
        <v>436</v>
      </c>
      <c r="AX119" t="s">
        <v>74</v>
      </c>
      <c r="AY119" t="s">
        <v>74</v>
      </c>
      <c r="AZ119" t="s">
        <v>74</v>
      </c>
      <c r="BA119" t="s">
        <v>74</v>
      </c>
      <c r="BB119">
        <v>267</v>
      </c>
      <c r="BC119">
        <v>292</v>
      </c>
      <c r="BD119" t="s">
        <v>2003</v>
      </c>
      <c r="BE119" t="s">
        <v>2004</v>
      </c>
      <c r="BF119" t="str">
        <f>HYPERLINK("http://dx.doi.org/10.1016/S0031-0182(01)00438-2","http://dx.doi.org/10.1016/S0031-0182(01)00438-2")</f>
        <v>http://dx.doi.org/10.1016/S0031-0182(01)00438-2</v>
      </c>
      <c r="BG119" t="s">
        <v>74</v>
      </c>
      <c r="BH119" t="s">
        <v>74</v>
      </c>
      <c r="BI119">
        <v>26</v>
      </c>
      <c r="BJ119" t="s">
        <v>102</v>
      </c>
      <c r="BK119" t="s">
        <v>170</v>
      </c>
      <c r="BL119" t="s">
        <v>104</v>
      </c>
      <c r="BM119" t="s">
        <v>1995</v>
      </c>
      <c r="BN119" t="s">
        <v>74</v>
      </c>
      <c r="BO119" t="s">
        <v>74</v>
      </c>
      <c r="BP119" t="s">
        <v>74</v>
      </c>
      <c r="BQ119" t="s">
        <v>74</v>
      </c>
      <c r="BR119" t="s">
        <v>107</v>
      </c>
      <c r="BS119" t="s">
        <v>2005</v>
      </c>
      <c r="BT119" t="str">
        <f>HYPERLINK("https%3A%2F%2Fwww.webofscience.com%2Fwos%2Fwoscc%2Ffull-record%2FWOS:000176150800007","View Full Record in Web of Science")</f>
        <v>View Full Record in Web of Science</v>
      </c>
    </row>
    <row r="120" spans="1:72" x14ac:dyDescent="0.15">
      <c r="A120" t="s">
        <v>72</v>
      </c>
      <c r="B120" t="s">
        <v>2006</v>
      </c>
      <c r="C120" t="s">
        <v>74</v>
      </c>
      <c r="D120" t="s">
        <v>74</v>
      </c>
      <c r="E120" t="s">
        <v>74</v>
      </c>
      <c r="F120" t="s">
        <v>2006</v>
      </c>
      <c r="G120" t="s">
        <v>74</v>
      </c>
      <c r="H120" t="s">
        <v>74</v>
      </c>
      <c r="I120" t="s">
        <v>2007</v>
      </c>
      <c r="J120" t="s">
        <v>539</v>
      </c>
      <c r="K120" t="s">
        <v>74</v>
      </c>
      <c r="L120" t="s">
        <v>74</v>
      </c>
      <c r="M120" t="s">
        <v>77</v>
      </c>
      <c r="N120" t="s">
        <v>153</v>
      </c>
      <c r="O120" t="s">
        <v>74</v>
      </c>
      <c r="P120" t="s">
        <v>74</v>
      </c>
      <c r="Q120" t="s">
        <v>74</v>
      </c>
      <c r="R120" t="s">
        <v>74</v>
      </c>
      <c r="S120" t="s">
        <v>74</v>
      </c>
      <c r="T120" t="s">
        <v>2008</v>
      </c>
      <c r="U120" t="s">
        <v>2009</v>
      </c>
      <c r="V120" t="s">
        <v>2010</v>
      </c>
      <c r="W120" t="s">
        <v>2011</v>
      </c>
      <c r="X120" t="s">
        <v>2012</v>
      </c>
      <c r="Y120" t="s">
        <v>2013</v>
      </c>
      <c r="Z120" t="s">
        <v>2014</v>
      </c>
      <c r="AA120" t="s">
        <v>2015</v>
      </c>
      <c r="AB120" t="s">
        <v>2016</v>
      </c>
      <c r="AC120" t="s">
        <v>74</v>
      </c>
      <c r="AD120" t="s">
        <v>74</v>
      </c>
      <c r="AE120" t="s">
        <v>74</v>
      </c>
      <c r="AF120" t="s">
        <v>74</v>
      </c>
      <c r="AG120">
        <v>49</v>
      </c>
      <c r="AH120">
        <v>208</v>
      </c>
      <c r="AI120">
        <v>220</v>
      </c>
      <c r="AJ120">
        <v>0</v>
      </c>
      <c r="AK120">
        <v>20</v>
      </c>
      <c r="AL120" t="s">
        <v>90</v>
      </c>
      <c r="AM120" t="s">
        <v>91</v>
      </c>
      <c r="AN120" t="s">
        <v>92</v>
      </c>
      <c r="AO120" t="s">
        <v>549</v>
      </c>
      <c r="AP120" t="s">
        <v>550</v>
      </c>
      <c r="AQ120" t="s">
        <v>74</v>
      </c>
      <c r="AR120" t="s">
        <v>551</v>
      </c>
      <c r="AS120" t="s">
        <v>552</v>
      </c>
      <c r="AT120" t="s">
        <v>2017</v>
      </c>
      <c r="AU120">
        <v>2002</v>
      </c>
      <c r="AV120">
        <v>198</v>
      </c>
      <c r="AW120" t="s">
        <v>436</v>
      </c>
      <c r="AX120" t="s">
        <v>74</v>
      </c>
      <c r="AY120" t="s">
        <v>74</v>
      </c>
      <c r="AZ120" t="s">
        <v>74</v>
      </c>
      <c r="BA120" t="s">
        <v>74</v>
      </c>
      <c r="BB120">
        <v>289</v>
      </c>
      <c r="BC120">
        <v>306</v>
      </c>
      <c r="BD120" t="s">
        <v>2018</v>
      </c>
      <c r="BE120" t="s">
        <v>2019</v>
      </c>
      <c r="BF120" t="str">
        <f>HYPERLINK("http://dx.doi.org/10.1016/S0012-821X(02)00525-3","http://dx.doi.org/10.1016/S0012-821X(02)00525-3")</f>
        <v>http://dx.doi.org/10.1016/S0012-821X(02)00525-3</v>
      </c>
      <c r="BG120" t="s">
        <v>74</v>
      </c>
      <c r="BH120" t="s">
        <v>74</v>
      </c>
      <c r="BI120">
        <v>18</v>
      </c>
      <c r="BJ120" t="s">
        <v>556</v>
      </c>
      <c r="BK120" t="s">
        <v>170</v>
      </c>
      <c r="BL120" t="s">
        <v>556</v>
      </c>
      <c r="BM120" t="s">
        <v>2020</v>
      </c>
      <c r="BN120" t="s">
        <v>74</v>
      </c>
      <c r="BO120" t="s">
        <v>74</v>
      </c>
      <c r="BP120" t="s">
        <v>74</v>
      </c>
      <c r="BQ120" t="s">
        <v>74</v>
      </c>
      <c r="BR120" t="s">
        <v>107</v>
      </c>
      <c r="BS120" t="s">
        <v>2021</v>
      </c>
      <c r="BT120" t="str">
        <f>HYPERLINK("https%3A%2F%2Fwww.webofscience.com%2Fwos%2Fwoscc%2Ffull-record%2FWOS:000175808000005","View Full Record in Web of Science")</f>
        <v>View Full Record in Web of Science</v>
      </c>
    </row>
    <row r="121" spans="1:72" x14ac:dyDescent="0.15">
      <c r="A121" t="s">
        <v>72</v>
      </c>
      <c r="B121" t="s">
        <v>2022</v>
      </c>
      <c r="C121" t="s">
        <v>74</v>
      </c>
      <c r="D121" t="s">
        <v>74</v>
      </c>
      <c r="E121" t="s">
        <v>74</v>
      </c>
      <c r="F121" t="s">
        <v>2022</v>
      </c>
      <c r="G121" t="s">
        <v>74</v>
      </c>
      <c r="H121" t="s">
        <v>74</v>
      </c>
      <c r="I121" t="s">
        <v>2023</v>
      </c>
      <c r="J121" t="s">
        <v>594</v>
      </c>
      <c r="K121" t="s">
        <v>74</v>
      </c>
      <c r="L121" t="s">
        <v>74</v>
      </c>
      <c r="M121" t="s">
        <v>77</v>
      </c>
      <c r="N121" t="s">
        <v>153</v>
      </c>
      <c r="O121" t="s">
        <v>74</v>
      </c>
      <c r="P121" t="s">
        <v>74</v>
      </c>
      <c r="Q121" t="s">
        <v>74</v>
      </c>
      <c r="R121" t="s">
        <v>74</v>
      </c>
      <c r="S121" t="s">
        <v>74</v>
      </c>
      <c r="T121" t="s">
        <v>74</v>
      </c>
      <c r="U121" t="s">
        <v>2024</v>
      </c>
      <c r="V121" t="s">
        <v>2025</v>
      </c>
      <c r="W121" t="s">
        <v>2026</v>
      </c>
      <c r="X121" t="s">
        <v>323</v>
      </c>
      <c r="Y121" t="s">
        <v>2027</v>
      </c>
      <c r="Z121" t="s">
        <v>74</v>
      </c>
      <c r="AA121" t="s">
        <v>74</v>
      </c>
      <c r="AB121" t="s">
        <v>2028</v>
      </c>
      <c r="AC121" t="s">
        <v>74</v>
      </c>
      <c r="AD121" t="s">
        <v>74</v>
      </c>
      <c r="AE121" t="s">
        <v>74</v>
      </c>
      <c r="AF121" t="s">
        <v>74</v>
      </c>
      <c r="AG121">
        <v>24</v>
      </c>
      <c r="AH121">
        <v>34</v>
      </c>
      <c r="AI121">
        <v>34</v>
      </c>
      <c r="AJ121">
        <v>0</v>
      </c>
      <c r="AK121">
        <v>8</v>
      </c>
      <c r="AL121" t="s">
        <v>161</v>
      </c>
      <c r="AM121" t="s">
        <v>162</v>
      </c>
      <c r="AN121" t="s">
        <v>163</v>
      </c>
      <c r="AO121" t="s">
        <v>602</v>
      </c>
      <c r="AP121" t="s">
        <v>603</v>
      </c>
      <c r="AQ121" t="s">
        <v>74</v>
      </c>
      <c r="AR121" t="s">
        <v>604</v>
      </c>
      <c r="AS121" t="s">
        <v>605</v>
      </c>
      <c r="AT121" t="s">
        <v>2017</v>
      </c>
      <c r="AU121">
        <v>2002</v>
      </c>
      <c r="AV121">
        <v>29</v>
      </c>
      <c r="AW121">
        <v>10</v>
      </c>
      <c r="AX121" t="s">
        <v>74</v>
      </c>
      <c r="AY121" t="s">
        <v>74</v>
      </c>
      <c r="AZ121" t="s">
        <v>74</v>
      </c>
      <c r="BA121" t="s">
        <v>74</v>
      </c>
      <c r="BB121" t="s">
        <v>74</v>
      </c>
      <c r="BC121" t="s">
        <v>74</v>
      </c>
      <c r="BD121">
        <v>1406</v>
      </c>
      <c r="BE121" t="s">
        <v>2029</v>
      </c>
      <c r="BF121" t="str">
        <f>HYPERLINK("http://dx.doi.org/10.1029/2001GL014138","http://dx.doi.org/10.1029/2001GL014138")</f>
        <v>http://dx.doi.org/10.1029/2001GL014138</v>
      </c>
      <c r="BG121" t="s">
        <v>74</v>
      </c>
      <c r="BH121" t="s">
        <v>74</v>
      </c>
      <c r="BI121">
        <v>4</v>
      </c>
      <c r="BJ121" t="s">
        <v>608</v>
      </c>
      <c r="BK121" t="s">
        <v>170</v>
      </c>
      <c r="BL121" t="s">
        <v>439</v>
      </c>
      <c r="BM121" t="s">
        <v>2030</v>
      </c>
      <c r="BN121" t="s">
        <v>74</v>
      </c>
      <c r="BO121" t="s">
        <v>173</v>
      </c>
      <c r="BP121" t="s">
        <v>74</v>
      </c>
      <c r="BQ121" t="s">
        <v>74</v>
      </c>
      <c r="BR121" t="s">
        <v>107</v>
      </c>
      <c r="BS121" t="s">
        <v>2031</v>
      </c>
      <c r="BT121" t="str">
        <f>HYPERLINK("https%3A%2F%2Fwww.webofscience.com%2Fwos%2Fwoscc%2Ffull-record%2FWOS:000178888300100","View Full Record in Web of Science")</f>
        <v>View Full Record in Web of Science</v>
      </c>
    </row>
    <row r="122" spans="1:72" x14ac:dyDescent="0.15">
      <c r="A122" t="s">
        <v>72</v>
      </c>
      <c r="B122" t="s">
        <v>2032</v>
      </c>
      <c r="C122" t="s">
        <v>74</v>
      </c>
      <c r="D122" t="s">
        <v>74</v>
      </c>
      <c r="E122" t="s">
        <v>74</v>
      </c>
      <c r="F122" t="s">
        <v>2032</v>
      </c>
      <c r="G122" t="s">
        <v>74</v>
      </c>
      <c r="H122" t="s">
        <v>74</v>
      </c>
      <c r="I122" t="s">
        <v>2033</v>
      </c>
      <c r="J122" t="s">
        <v>594</v>
      </c>
      <c r="K122" t="s">
        <v>74</v>
      </c>
      <c r="L122" t="s">
        <v>74</v>
      </c>
      <c r="M122" t="s">
        <v>77</v>
      </c>
      <c r="N122" t="s">
        <v>153</v>
      </c>
      <c r="O122" t="s">
        <v>74</v>
      </c>
      <c r="P122" t="s">
        <v>74</v>
      </c>
      <c r="Q122" t="s">
        <v>74</v>
      </c>
      <c r="R122" t="s">
        <v>74</v>
      </c>
      <c r="S122" t="s">
        <v>74</v>
      </c>
      <c r="T122" t="s">
        <v>74</v>
      </c>
      <c r="U122" t="s">
        <v>2034</v>
      </c>
      <c r="V122" t="s">
        <v>2035</v>
      </c>
      <c r="W122" t="s">
        <v>2036</v>
      </c>
      <c r="X122" t="s">
        <v>2037</v>
      </c>
      <c r="Y122" t="s">
        <v>2038</v>
      </c>
      <c r="Z122" t="s">
        <v>74</v>
      </c>
      <c r="AA122" t="s">
        <v>2039</v>
      </c>
      <c r="AB122" t="s">
        <v>2040</v>
      </c>
      <c r="AC122" t="s">
        <v>74</v>
      </c>
      <c r="AD122" t="s">
        <v>74</v>
      </c>
      <c r="AE122" t="s">
        <v>74</v>
      </c>
      <c r="AF122" t="s">
        <v>74</v>
      </c>
      <c r="AG122">
        <v>22</v>
      </c>
      <c r="AH122">
        <v>48</v>
      </c>
      <c r="AI122">
        <v>48</v>
      </c>
      <c r="AJ122">
        <v>0</v>
      </c>
      <c r="AK122">
        <v>2</v>
      </c>
      <c r="AL122" t="s">
        <v>161</v>
      </c>
      <c r="AM122" t="s">
        <v>162</v>
      </c>
      <c r="AN122" t="s">
        <v>163</v>
      </c>
      <c r="AO122" t="s">
        <v>602</v>
      </c>
      <c r="AP122" t="s">
        <v>603</v>
      </c>
      <c r="AQ122" t="s">
        <v>74</v>
      </c>
      <c r="AR122" t="s">
        <v>604</v>
      </c>
      <c r="AS122" t="s">
        <v>605</v>
      </c>
      <c r="AT122" t="s">
        <v>2017</v>
      </c>
      <c r="AU122">
        <v>2002</v>
      </c>
      <c r="AV122">
        <v>29</v>
      </c>
      <c r="AW122">
        <v>10</v>
      </c>
      <c r="AX122" t="s">
        <v>74</v>
      </c>
      <c r="AY122" t="s">
        <v>74</v>
      </c>
      <c r="AZ122" t="s">
        <v>74</v>
      </c>
      <c r="BA122" t="s">
        <v>74</v>
      </c>
      <c r="BB122" t="s">
        <v>74</v>
      </c>
      <c r="BC122" t="s">
        <v>74</v>
      </c>
      <c r="BD122">
        <v>1446</v>
      </c>
      <c r="BE122" t="s">
        <v>2041</v>
      </c>
      <c r="BF122" t="str">
        <f>HYPERLINK("http://dx.doi.org/10.1029/2001GL014587","http://dx.doi.org/10.1029/2001GL014587")</f>
        <v>http://dx.doi.org/10.1029/2001GL014587</v>
      </c>
      <c r="BG122" t="s">
        <v>74</v>
      </c>
      <c r="BH122" t="s">
        <v>74</v>
      </c>
      <c r="BI122">
        <v>4</v>
      </c>
      <c r="BJ122" t="s">
        <v>608</v>
      </c>
      <c r="BK122" t="s">
        <v>170</v>
      </c>
      <c r="BL122" t="s">
        <v>439</v>
      </c>
      <c r="BM122" t="s">
        <v>2030</v>
      </c>
      <c r="BN122" t="s">
        <v>74</v>
      </c>
      <c r="BO122" t="s">
        <v>1495</v>
      </c>
      <c r="BP122" t="s">
        <v>74</v>
      </c>
      <c r="BQ122" t="s">
        <v>74</v>
      </c>
      <c r="BR122" t="s">
        <v>107</v>
      </c>
      <c r="BS122" t="s">
        <v>2042</v>
      </c>
      <c r="BT122" t="str">
        <f>HYPERLINK("https%3A%2F%2Fwww.webofscience.com%2Fwos%2Fwoscc%2Ffull-record%2FWOS:000178888300060","View Full Record in Web of Science")</f>
        <v>View Full Record in Web of Science</v>
      </c>
    </row>
    <row r="123" spans="1:72" x14ac:dyDescent="0.15">
      <c r="A123" t="s">
        <v>72</v>
      </c>
      <c r="B123" t="s">
        <v>2043</v>
      </c>
      <c r="C123" t="s">
        <v>74</v>
      </c>
      <c r="D123" t="s">
        <v>74</v>
      </c>
      <c r="E123" t="s">
        <v>74</v>
      </c>
      <c r="F123" t="s">
        <v>2043</v>
      </c>
      <c r="G123" t="s">
        <v>74</v>
      </c>
      <c r="H123" t="s">
        <v>74</v>
      </c>
      <c r="I123" t="s">
        <v>2044</v>
      </c>
      <c r="J123" t="s">
        <v>594</v>
      </c>
      <c r="K123" t="s">
        <v>74</v>
      </c>
      <c r="L123" t="s">
        <v>74</v>
      </c>
      <c r="M123" t="s">
        <v>77</v>
      </c>
      <c r="N123" t="s">
        <v>153</v>
      </c>
      <c r="O123" t="s">
        <v>74</v>
      </c>
      <c r="P123" t="s">
        <v>74</v>
      </c>
      <c r="Q123" t="s">
        <v>74</v>
      </c>
      <c r="R123" t="s">
        <v>74</v>
      </c>
      <c r="S123" t="s">
        <v>74</v>
      </c>
      <c r="T123" t="s">
        <v>74</v>
      </c>
      <c r="U123" t="s">
        <v>2045</v>
      </c>
      <c r="V123" t="s">
        <v>2046</v>
      </c>
      <c r="W123" t="s">
        <v>2047</v>
      </c>
      <c r="X123" t="s">
        <v>2048</v>
      </c>
      <c r="Y123" t="s">
        <v>74</v>
      </c>
      <c r="Z123" t="s">
        <v>74</v>
      </c>
      <c r="AA123" t="s">
        <v>2049</v>
      </c>
      <c r="AB123" t="s">
        <v>2050</v>
      </c>
      <c r="AC123" t="s">
        <v>74</v>
      </c>
      <c r="AD123" t="s">
        <v>74</v>
      </c>
      <c r="AE123" t="s">
        <v>74</v>
      </c>
      <c r="AF123" t="s">
        <v>74</v>
      </c>
      <c r="AG123">
        <v>30</v>
      </c>
      <c r="AH123">
        <v>23</v>
      </c>
      <c r="AI123">
        <v>25</v>
      </c>
      <c r="AJ123">
        <v>0</v>
      </c>
      <c r="AK123">
        <v>6</v>
      </c>
      <c r="AL123" t="s">
        <v>161</v>
      </c>
      <c r="AM123" t="s">
        <v>162</v>
      </c>
      <c r="AN123" t="s">
        <v>163</v>
      </c>
      <c r="AO123" t="s">
        <v>602</v>
      </c>
      <c r="AP123" t="s">
        <v>603</v>
      </c>
      <c r="AQ123" t="s">
        <v>74</v>
      </c>
      <c r="AR123" t="s">
        <v>604</v>
      </c>
      <c r="AS123" t="s">
        <v>605</v>
      </c>
      <c r="AT123" t="s">
        <v>2017</v>
      </c>
      <c r="AU123">
        <v>2002</v>
      </c>
      <c r="AV123">
        <v>29</v>
      </c>
      <c r="AW123">
        <v>10</v>
      </c>
      <c r="AX123" t="s">
        <v>74</v>
      </c>
      <c r="AY123" t="s">
        <v>74</v>
      </c>
      <c r="AZ123" t="s">
        <v>74</v>
      </c>
      <c r="BA123" t="s">
        <v>74</v>
      </c>
      <c r="BB123" t="s">
        <v>74</v>
      </c>
      <c r="BC123" t="s">
        <v>74</v>
      </c>
      <c r="BD123">
        <v>1407</v>
      </c>
      <c r="BE123" t="s">
        <v>2051</v>
      </c>
      <c r="BF123" t="str">
        <f>HYPERLINK("http://dx.doi.org/10.1029/2001GL014585","http://dx.doi.org/10.1029/2001GL014585")</f>
        <v>http://dx.doi.org/10.1029/2001GL014585</v>
      </c>
      <c r="BG123" t="s">
        <v>74</v>
      </c>
      <c r="BH123" t="s">
        <v>74</v>
      </c>
      <c r="BI123">
        <v>4</v>
      </c>
      <c r="BJ123" t="s">
        <v>608</v>
      </c>
      <c r="BK123" t="s">
        <v>170</v>
      </c>
      <c r="BL123" t="s">
        <v>439</v>
      </c>
      <c r="BM123" t="s">
        <v>2030</v>
      </c>
      <c r="BN123" t="s">
        <v>74</v>
      </c>
      <c r="BO123" t="s">
        <v>2052</v>
      </c>
      <c r="BP123" t="s">
        <v>74</v>
      </c>
      <c r="BQ123" t="s">
        <v>74</v>
      </c>
      <c r="BR123" t="s">
        <v>107</v>
      </c>
      <c r="BS123" t="s">
        <v>2053</v>
      </c>
      <c r="BT123" t="str">
        <f>HYPERLINK("https%3A%2F%2Fwww.webofscience.com%2Fwos%2Fwoscc%2Ffull-record%2FWOS:000178888300099","View Full Record in Web of Science")</f>
        <v>View Full Record in Web of Science</v>
      </c>
    </row>
    <row r="124" spans="1:72" x14ac:dyDescent="0.15">
      <c r="A124" t="s">
        <v>72</v>
      </c>
      <c r="B124" t="s">
        <v>2054</v>
      </c>
      <c r="C124" t="s">
        <v>74</v>
      </c>
      <c r="D124" t="s">
        <v>74</v>
      </c>
      <c r="E124" t="s">
        <v>74</v>
      </c>
      <c r="F124" t="s">
        <v>2054</v>
      </c>
      <c r="G124" t="s">
        <v>74</v>
      </c>
      <c r="H124" t="s">
        <v>74</v>
      </c>
      <c r="I124" t="s">
        <v>2055</v>
      </c>
      <c r="J124" t="s">
        <v>1430</v>
      </c>
      <c r="K124" t="s">
        <v>74</v>
      </c>
      <c r="L124" t="s">
        <v>74</v>
      </c>
      <c r="M124" t="s">
        <v>77</v>
      </c>
      <c r="N124" t="s">
        <v>153</v>
      </c>
      <c r="O124" t="s">
        <v>74</v>
      </c>
      <c r="P124" t="s">
        <v>74</v>
      </c>
      <c r="Q124" t="s">
        <v>74</v>
      </c>
      <c r="R124" t="s">
        <v>74</v>
      </c>
      <c r="S124" t="s">
        <v>74</v>
      </c>
      <c r="T124" t="s">
        <v>74</v>
      </c>
      <c r="U124" t="s">
        <v>2056</v>
      </c>
      <c r="V124" t="s">
        <v>2057</v>
      </c>
      <c r="W124" t="s">
        <v>2058</v>
      </c>
      <c r="X124" t="s">
        <v>487</v>
      </c>
      <c r="Y124" t="s">
        <v>2059</v>
      </c>
      <c r="Z124" t="s">
        <v>2060</v>
      </c>
      <c r="AA124" t="s">
        <v>2061</v>
      </c>
      <c r="AB124" t="s">
        <v>2062</v>
      </c>
      <c r="AC124" t="s">
        <v>74</v>
      </c>
      <c r="AD124" t="s">
        <v>74</v>
      </c>
      <c r="AE124" t="s">
        <v>74</v>
      </c>
      <c r="AF124" t="s">
        <v>74</v>
      </c>
      <c r="AG124">
        <v>59</v>
      </c>
      <c r="AH124">
        <v>66</v>
      </c>
      <c r="AI124">
        <v>72</v>
      </c>
      <c r="AJ124">
        <v>0</v>
      </c>
      <c r="AK124">
        <v>7</v>
      </c>
      <c r="AL124" t="s">
        <v>1439</v>
      </c>
      <c r="AM124" t="s">
        <v>1440</v>
      </c>
      <c r="AN124" t="s">
        <v>1441</v>
      </c>
      <c r="AO124" t="s">
        <v>1442</v>
      </c>
      <c r="AP124" t="s">
        <v>1443</v>
      </c>
      <c r="AQ124" t="s">
        <v>74</v>
      </c>
      <c r="AR124" t="s">
        <v>1444</v>
      </c>
      <c r="AS124" t="s">
        <v>1445</v>
      </c>
      <c r="AT124" t="s">
        <v>2017</v>
      </c>
      <c r="AU124">
        <v>2002</v>
      </c>
      <c r="AV124">
        <v>15</v>
      </c>
      <c r="AW124">
        <v>10</v>
      </c>
      <c r="AX124" t="s">
        <v>74</v>
      </c>
      <c r="AY124" t="s">
        <v>74</v>
      </c>
      <c r="AZ124" t="s">
        <v>74</v>
      </c>
      <c r="BA124" t="s">
        <v>74</v>
      </c>
      <c r="BB124">
        <v>1159</v>
      </c>
      <c r="BC124">
        <v>1174</v>
      </c>
      <c r="BD124" t="s">
        <v>74</v>
      </c>
      <c r="BE124" t="s">
        <v>2063</v>
      </c>
      <c r="BF124" t="str">
        <f>HYPERLINK("http://dx.doi.org/10.1175/1520-0442(2002)015&lt;1159:MOIVOT&gt;2.0.CO;2","http://dx.doi.org/10.1175/1520-0442(2002)015&lt;1159:MOIVOT&gt;2.0.CO;2")</f>
        <v>http://dx.doi.org/10.1175/1520-0442(2002)015&lt;1159:MOIVOT&gt;2.0.CO;2</v>
      </c>
      <c r="BG124" t="s">
        <v>74</v>
      </c>
      <c r="BH124" t="s">
        <v>74</v>
      </c>
      <c r="BI124">
        <v>16</v>
      </c>
      <c r="BJ124" t="s">
        <v>403</v>
      </c>
      <c r="BK124" t="s">
        <v>170</v>
      </c>
      <c r="BL124" t="s">
        <v>403</v>
      </c>
      <c r="BM124" t="s">
        <v>2064</v>
      </c>
      <c r="BN124" t="s">
        <v>74</v>
      </c>
      <c r="BO124" t="s">
        <v>461</v>
      </c>
      <c r="BP124" t="s">
        <v>74</v>
      </c>
      <c r="BQ124" t="s">
        <v>74</v>
      </c>
      <c r="BR124" t="s">
        <v>107</v>
      </c>
      <c r="BS124" t="s">
        <v>2065</v>
      </c>
      <c r="BT124" t="str">
        <f>HYPERLINK("https%3A%2F%2Fwww.webofscience.com%2Fwos%2Fwoscc%2Ffull-record%2FWOS:000175248900004","View Full Record in Web of Science")</f>
        <v>View Full Record in Web of Science</v>
      </c>
    </row>
    <row r="125" spans="1:72" x14ac:dyDescent="0.15">
      <c r="A125" t="s">
        <v>72</v>
      </c>
      <c r="B125" t="s">
        <v>2066</v>
      </c>
      <c r="C125" t="s">
        <v>74</v>
      </c>
      <c r="D125" t="s">
        <v>74</v>
      </c>
      <c r="E125" t="s">
        <v>74</v>
      </c>
      <c r="F125" t="s">
        <v>2066</v>
      </c>
      <c r="G125" t="s">
        <v>74</v>
      </c>
      <c r="H125" t="s">
        <v>74</v>
      </c>
      <c r="I125" t="s">
        <v>2067</v>
      </c>
      <c r="J125" t="s">
        <v>241</v>
      </c>
      <c r="K125" t="s">
        <v>74</v>
      </c>
      <c r="L125" t="s">
        <v>74</v>
      </c>
      <c r="M125" t="s">
        <v>77</v>
      </c>
      <c r="N125" t="s">
        <v>153</v>
      </c>
      <c r="O125" t="s">
        <v>74</v>
      </c>
      <c r="P125" t="s">
        <v>74</v>
      </c>
      <c r="Q125" t="s">
        <v>74</v>
      </c>
      <c r="R125" t="s">
        <v>74</v>
      </c>
      <c r="S125" t="s">
        <v>74</v>
      </c>
      <c r="T125" t="s">
        <v>74</v>
      </c>
      <c r="U125" t="s">
        <v>2068</v>
      </c>
      <c r="V125" t="s">
        <v>2069</v>
      </c>
      <c r="W125" t="s">
        <v>2070</v>
      </c>
      <c r="X125" t="s">
        <v>2071</v>
      </c>
      <c r="Y125" t="s">
        <v>2072</v>
      </c>
      <c r="Z125" t="s">
        <v>74</v>
      </c>
      <c r="AA125" t="s">
        <v>74</v>
      </c>
      <c r="AB125" t="s">
        <v>2073</v>
      </c>
      <c r="AC125" t="s">
        <v>74</v>
      </c>
      <c r="AD125" t="s">
        <v>74</v>
      </c>
      <c r="AE125" t="s">
        <v>74</v>
      </c>
      <c r="AF125" t="s">
        <v>74</v>
      </c>
      <c r="AG125">
        <v>52</v>
      </c>
      <c r="AH125">
        <v>44</v>
      </c>
      <c r="AI125">
        <v>51</v>
      </c>
      <c r="AJ125">
        <v>0</v>
      </c>
      <c r="AK125">
        <v>0</v>
      </c>
      <c r="AL125" t="s">
        <v>249</v>
      </c>
      <c r="AM125" t="s">
        <v>250</v>
      </c>
      <c r="AN125" t="s">
        <v>251</v>
      </c>
      <c r="AO125" t="s">
        <v>252</v>
      </c>
      <c r="AP125" t="s">
        <v>74</v>
      </c>
      <c r="AQ125" t="s">
        <v>74</v>
      </c>
      <c r="AR125" t="s">
        <v>253</v>
      </c>
      <c r="AS125" t="s">
        <v>254</v>
      </c>
      <c r="AT125" t="s">
        <v>2017</v>
      </c>
      <c r="AU125">
        <v>2002</v>
      </c>
      <c r="AV125">
        <v>65</v>
      </c>
      <c r="AW125">
        <v>10</v>
      </c>
      <c r="AX125" t="s">
        <v>74</v>
      </c>
      <c r="AY125" t="s">
        <v>74</v>
      </c>
      <c r="AZ125" t="s">
        <v>74</v>
      </c>
      <c r="BA125" t="s">
        <v>74</v>
      </c>
      <c r="BB125" t="s">
        <v>74</v>
      </c>
      <c r="BC125" t="s">
        <v>74</v>
      </c>
      <c r="BD125">
        <v>103002</v>
      </c>
      <c r="BE125" t="s">
        <v>2074</v>
      </c>
      <c r="BF125" t="str">
        <f>HYPERLINK("http://dx.doi.org/10.1103/PhysRevD.65.103002","http://dx.doi.org/10.1103/PhysRevD.65.103002")</f>
        <v>http://dx.doi.org/10.1103/PhysRevD.65.103002</v>
      </c>
      <c r="BG125" t="s">
        <v>74</v>
      </c>
      <c r="BH125" t="s">
        <v>74</v>
      </c>
      <c r="BI125">
        <v>24</v>
      </c>
      <c r="BJ125" t="s">
        <v>256</v>
      </c>
      <c r="BK125" t="s">
        <v>170</v>
      </c>
      <c r="BL125" t="s">
        <v>257</v>
      </c>
      <c r="BM125" t="s">
        <v>2075</v>
      </c>
      <c r="BN125" t="s">
        <v>74</v>
      </c>
      <c r="BO125" t="s">
        <v>665</v>
      </c>
      <c r="BP125" t="s">
        <v>74</v>
      </c>
      <c r="BQ125" t="s">
        <v>74</v>
      </c>
      <c r="BR125" t="s">
        <v>107</v>
      </c>
      <c r="BS125" t="s">
        <v>2076</v>
      </c>
      <c r="BT125" t="str">
        <f>HYPERLINK("https%3A%2F%2Fwww.webofscience.com%2Fwos%2Fwoscc%2Ffull-record%2FWOS:000175774200007","View Full Record in Web of Science")</f>
        <v>View Full Record in Web of Science</v>
      </c>
    </row>
    <row r="126" spans="1:72" x14ac:dyDescent="0.15">
      <c r="A126" t="s">
        <v>72</v>
      </c>
      <c r="B126" t="s">
        <v>2077</v>
      </c>
      <c r="C126" t="s">
        <v>74</v>
      </c>
      <c r="D126" t="s">
        <v>74</v>
      </c>
      <c r="E126" t="s">
        <v>74</v>
      </c>
      <c r="F126" t="s">
        <v>2077</v>
      </c>
      <c r="G126" t="s">
        <v>74</v>
      </c>
      <c r="H126" t="s">
        <v>74</v>
      </c>
      <c r="I126" t="s">
        <v>2078</v>
      </c>
      <c r="J126" t="s">
        <v>1544</v>
      </c>
      <c r="K126" t="s">
        <v>74</v>
      </c>
      <c r="L126" t="s">
        <v>74</v>
      </c>
      <c r="M126" t="s">
        <v>77</v>
      </c>
      <c r="N126" t="s">
        <v>153</v>
      </c>
      <c r="O126" t="s">
        <v>74</v>
      </c>
      <c r="P126" t="s">
        <v>74</v>
      </c>
      <c r="Q126" t="s">
        <v>74</v>
      </c>
      <c r="R126" t="s">
        <v>74</v>
      </c>
      <c r="S126" t="s">
        <v>74</v>
      </c>
      <c r="T126" t="s">
        <v>1545</v>
      </c>
      <c r="U126" t="s">
        <v>2079</v>
      </c>
      <c r="V126" t="s">
        <v>2080</v>
      </c>
      <c r="W126" t="s">
        <v>2081</v>
      </c>
      <c r="X126" t="s">
        <v>2082</v>
      </c>
      <c r="Y126" t="s">
        <v>2083</v>
      </c>
      <c r="Z126" t="s">
        <v>2084</v>
      </c>
      <c r="AA126" t="s">
        <v>1552</v>
      </c>
      <c r="AB126" t="s">
        <v>1553</v>
      </c>
      <c r="AC126" t="s">
        <v>74</v>
      </c>
      <c r="AD126" t="s">
        <v>74</v>
      </c>
      <c r="AE126" t="s">
        <v>74</v>
      </c>
      <c r="AF126" t="s">
        <v>74</v>
      </c>
      <c r="AG126">
        <v>98</v>
      </c>
      <c r="AH126">
        <v>22</v>
      </c>
      <c r="AI126">
        <v>23</v>
      </c>
      <c r="AJ126">
        <v>0</v>
      </c>
      <c r="AK126">
        <v>5</v>
      </c>
      <c r="AL126" t="s">
        <v>161</v>
      </c>
      <c r="AM126" t="s">
        <v>162</v>
      </c>
      <c r="AN126" t="s">
        <v>163</v>
      </c>
      <c r="AO126" t="s">
        <v>1554</v>
      </c>
      <c r="AP126" t="s">
        <v>1555</v>
      </c>
      <c r="AQ126" t="s">
        <v>74</v>
      </c>
      <c r="AR126" t="s">
        <v>1556</v>
      </c>
      <c r="AS126" t="s">
        <v>1557</v>
      </c>
      <c r="AT126" t="s">
        <v>2085</v>
      </c>
      <c r="AU126">
        <v>2002</v>
      </c>
      <c r="AV126">
        <v>107</v>
      </c>
      <c r="AW126" t="s">
        <v>2086</v>
      </c>
      <c r="AX126" t="s">
        <v>74</v>
      </c>
      <c r="AY126" t="s">
        <v>74</v>
      </c>
      <c r="AZ126" t="s">
        <v>74</v>
      </c>
      <c r="BA126" t="s">
        <v>74</v>
      </c>
      <c r="BB126" t="s">
        <v>74</v>
      </c>
      <c r="BC126" t="s">
        <v>74</v>
      </c>
      <c r="BD126">
        <v>2098</v>
      </c>
      <c r="BE126" t="s">
        <v>2087</v>
      </c>
      <c r="BF126" t="str">
        <f>HYPERLINK("http://dx.doi.org/10.1029/2001JB000533","http://dx.doi.org/10.1029/2001JB000533")</f>
        <v>http://dx.doi.org/10.1029/2001JB000533</v>
      </c>
      <c r="BG126" t="s">
        <v>74</v>
      </c>
      <c r="BH126" t="s">
        <v>74</v>
      </c>
      <c r="BI126">
        <v>19</v>
      </c>
      <c r="BJ126" t="s">
        <v>556</v>
      </c>
      <c r="BK126" t="s">
        <v>170</v>
      </c>
      <c r="BL126" t="s">
        <v>556</v>
      </c>
      <c r="BM126" t="s">
        <v>2088</v>
      </c>
      <c r="BN126" t="s">
        <v>74</v>
      </c>
      <c r="BO126" t="s">
        <v>2089</v>
      </c>
      <c r="BP126" t="s">
        <v>74</v>
      </c>
      <c r="BQ126" t="s">
        <v>74</v>
      </c>
      <c r="BR126" t="s">
        <v>107</v>
      </c>
      <c r="BS126" t="s">
        <v>2090</v>
      </c>
      <c r="BT126" t="str">
        <f>HYPERLINK("https%3A%2F%2Fwww.webofscience.com%2Fwos%2Fwoscc%2Ffull-record%2FWOS:000178917500007","View Full Record in Web of Science")</f>
        <v>View Full Record in Web of Science</v>
      </c>
    </row>
    <row r="127" spans="1:72" x14ac:dyDescent="0.15">
      <c r="A127" t="s">
        <v>72</v>
      </c>
      <c r="B127" t="s">
        <v>2091</v>
      </c>
      <c r="C127" t="s">
        <v>74</v>
      </c>
      <c r="D127" t="s">
        <v>74</v>
      </c>
      <c r="E127" t="s">
        <v>74</v>
      </c>
      <c r="F127" t="s">
        <v>2091</v>
      </c>
      <c r="G127" t="s">
        <v>74</v>
      </c>
      <c r="H127" t="s">
        <v>74</v>
      </c>
      <c r="I127" t="s">
        <v>2092</v>
      </c>
      <c r="J127" t="s">
        <v>1544</v>
      </c>
      <c r="K127" t="s">
        <v>74</v>
      </c>
      <c r="L127" t="s">
        <v>74</v>
      </c>
      <c r="M127" t="s">
        <v>77</v>
      </c>
      <c r="N127" t="s">
        <v>153</v>
      </c>
      <c r="O127" t="s">
        <v>74</v>
      </c>
      <c r="P127" t="s">
        <v>74</v>
      </c>
      <c r="Q127" t="s">
        <v>74</v>
      </c>
      <c r="R127" t="s">
        <v>74</v>
      </c>
      <c r="S127" t="s">
        <v>74</v>
      </c>
      <c r="T127" t="s">
        <v>2093</v>
      </c>
      <c r="U127" t="s">
        <v>2094</v>
      </c>
      <c r="V127" t="s">
        <v>2095</v>
      </c>
      <c r="W127" t="s">
        <v>2096</v>
      </c>
      <c r="X127" t="s">
        <v>2097</v>
      </c>
      <c r="Y127" t="s">
        <v>2098</v>
      </c>
      <c r="Z127" t="s">
        <v>2099</v>
      </c>
      <c r="AA127" t="s">
        <v>2100</v>
      </c>
      <c r="AB127" t="s">
        <v>2101</v>
      </c>
      <c r="AC127" t="s">
        <v>74</v>
      </c>
      <c r="AD127" t="s">
        <v>74</v>
      </c>
      <c r="AE127" t="s">
        <v>74</v>
      </c>
      <c r="AF127" t="s">
        <v>74</v>
      </c>
      <c r="AG127">
        <v>48</v>
      </c>
      <c r="AH127">
        <v>50</v>
      </c>
      <c r="AI127">
        <v>57</v>
      </c>
      <c r="AJ127">
        <v>0</v>
      </c>
      <c r="AK127">
        <v>17</v>
      </c>
      <c r="AL127" t="s">
        <v>161</v>
      </c>
      <c r="AM127" t="s">
        <v>162</v>
      </c>
      <c r="AN127" t="s">
        <v>163</v>
      </c>
      <c r="AO127" t="s">
        <v>1554</v>
      </c>
      <c r="AP127" t="s">
        <v>1555</v>
      </c>
      <c r="AQ127" t="s">
        <v>74</v>
      </c>
      <c r="AR127" t="s">
        <v>1556</v>
      </c>
      <c r="AS127" t="s">
        <v>1557</v>
      </c>
      <c r="AT127" t="s">
        <v>2085</v>
      </c>
      <c r="AU127">
        <v>2002</v>
      </c>
      <c r="AV127">
        <v>107</v>
      </c>
      <c r="AW127" t="s">
        <v>2086</v>
      </c>
      <c r="AX127" t="s">
        <v>74</v>
      </c>
      <c r="AY127" t="s">
        <v>74</v>
      </c>
      <c r="AZ127" t="s">
        <v>74</v>
      </c>
      <c r="BA127" t="s">
        <v>74</v>
      </c>
      <c r="BB127" t="s">
        <v>74</v>
      </c>
      <c r="BC127" t="s">
        <v>74</v>
      </c>
      <c r="BD127">
        <v>2092</v>
      </c>
      <c r="BE127" t="s">
        <v>2102</v>
      </c>
      <c r="BF127" t="str">
        <f>HYPERLINK("http://dx.doi.org/10.1029/2001JB000383","http://dx.doi.org/10.1029/2001JB000383")</f>
        <v>http://dx.doi.org/10.1029/2001JB000383</v>
      </c>
      <c r="BG127" t="s">
        <v>74</v>
      </c>
      <c r="BH127" t="s">
        <v>74</v>
      </c>
      <c r="BI127">
        <v>9</v>
      </c>
      <c r="BJ127" t="s">
        <v>556</v>
      </c>
      <c r="BK127" t="s">
        <v>170</v>
      </c>
      <c r="BL127" t="s">
        <v>556</v>
      </c>
      <c r="BM127" t="s">
        <v>2088</v>
      </c>
      <c r="BN127" t="s">
        <v>74</v>
      </c>
      <c r="BO127" t="s">
        <v>173</v>
      </c>
      <c r="BP127" t="s">
        <v>74</v>
      </c>
      <c r="BQ127" t="s">
        <v>74</v>
      </c>
      <c r="BR127" t="s">
        <v>107</v>
      </c>
      <c r="BS127" t="s">
        <v>2103</v>
      </c>
      <c r="BT127" t="str">
        <f>HYPERLINK("https%3A%2F%2Fwww.webofscience.com%2Fwos%2Fwoscc%2Ffull-record%2FWOS:000178917500013","View Full Record in Web of Science")</f>
        <v>View Full Record in Web of Science</v>
      </c>
    </row>
    <row r="128" spans="1:72" x14ac:dyDescent="0.15">
      <c r="A128" t="s">
        <v>72</v>
      </c>
      <c r="B128" t="s">
        <v>2104</v>
      </c>
      <c r="C128" t="s">
        <v>74</v>
      </c>
      <c r="D128" t="s">
        <v>74</v>
      </c>
      <c r="E128" t="s">
        <v>74</v>
      </c>
      <c r="F128" t="s">
        <v>2104</v>
      </c>
      <c r="G128" t="s">
        <v>74</v>
      </c>
      <c r="H128" t="s">
        <v>74</v>
      </c>
      <c r="I128" t="s">
        <v>2105</v>
      </c>
      <c r="J128" t="s">
        <v>2106</v>
      </c>
      <c r="K128" t="s">
        <v>74</v>
      </c>
      <c r="L128" t="s">
        <v>74</v>
      </c>
      <c r="M128" t="s">
        <v>77</v>
      </c>
      <c r="N128" t="s">
        <v>153</v>
      </c>
      <c r="O128" t="s">
        <v>74</v>
      </c>
      <c r="P128" t="s">
        <v>74</v>
      </c>
      <c r="Q128" t="s">
        <v>74</v>
      </c>
      <c r="R128" t="s">
        <v>74</v>
      </c>
      <c r="S128" t="s">
        <v>74</v>
      </c>
      <c r="T128" t="s">
        <v>74</v>
      </c>
      <c r="U128" t="s">
        <v>2107</v>
      </c>
      <c r="V128" t="s">
        <v>2108</v>
      </c>
      <c r="W128" t="s">
        <v>2109</v>
      </c>
      <c r="X128" t="s">
        <v>2110</v>
      </c>
      <c r="Y128" t="s">
        <v>2111</v>
      </c>
      <c r="Z128" t="s">
        <v>74</v>
      </c>
      <c r="AA128" t="s">
        <v>74</v>
      </c>
      <c r="AB128" t="s">
        <v>74</v>
      </c>
      <c r="AC128" t="s">
        <v>74</v>
      </c>
      <c r="AD128" t="s">
        <v>74</v>
      </c>
      <c r="AE128" t="s">
        <v>74</v>
      </c>
      <c r="AF128" t="s">
        <v>74</v>
      </c>
      <c r="AG128">
        <v>72</v>
      </c>
      <c r="AH128">
        <v>36</v>
      </c>
      <c r="AI128">
        <v>39</v>
      </c>
      <c r="AJ128">
        <v>1</v>
      </c>
      <c r="AK128">
        <v>7</v>
      </c>
      <c r="AL128" t="s">
        <v>2112</v>
      </c>
      <c r="AM128" t="s">
        <v>2113</v>
      </c>
      <c r="AN128" t="s">
        <v>2114</v>
      </c>
      <c r="AO128" t="s">
        <v>2115</v>
      </c>
      <c r="AP128" t="s">
        <v>74</v>
      </c>
      <c r="AQ128" t="s">
        <v>74</v>
      </c>
      <c r="AR128" t="s">
        <v>2116</v>
      </c>
      <c r="AS128" t="s">
        <v>2117</v>
      </c>
      <c r="AT128" t="s">
        <v>2118</v>
      </c>
      <c r="AU128">
        <v>2002</v>
      </c>
      <c r="AV128">
        <v>15</v>
      </c>
      <c r="AW128">
        <v>2</v>
      </c>
      <c r="AX128" t="s">
        <v>74</v>
      </c>
      <c r="AY128" t="s">
        <v>74</v>
      </c>
      <c r="AZ128" t="s">
        <v>74</v>
      </c>
      <c r="BA128" t="s">
        <v>74</v>
      </c>
      <c r="BB128">
        <v>247</v>
      </c>
      <c r="BC128">
        <v>276</v>
      </c>
      <c r="BD128" t="s">
        <v>2119</v>
      </c>
      <c r="BE128" t="s">
        <v>2120</v>
      </c>
      <c r="BF128" t="str">
        <f>HYPERLINK("http://dx.doi.org/10.1071/SB01014","http://dx.doi.org/10.1071/SB01014")</f>
        <v>http://dx.doi.org/10.1071/SB01014</v>
      </c>
      <c r="BG128" t="s">
        <v>74</v>
      </c>
      <c r="BH128" t="s">
        <v>74</v>
      </c>
      <c r="BI128">
        <v>30</v>
      </c>
      <c r="BJ128" t="s">
        <v>2121</v>
      </c>
      <c r="BK128" t="s">
        <v>170</v>
      </c>
      <c r="BL128" t="s">
        <v>2121</v>
      </c>
      <c r="BM128" t="s">
        <v>2122</v>
      </c>
      <c r="BN128" t="s">
        <v>74</v>
      </c>
      <c r="BO128" t="s">
        <v>74</v>
      </c>
      <c r="BP128" t="s">
        <v>74</v>
      </c>
      <c r="BQ128" t="s">
        <v>74</v>
      </c>
      <c r="BR128" t="s">
        <v>107</v>
      </c>
      <c r="BS128" t="s">
        <v>2123</v>
      </c>
      <c r="BT128" t="str">
        <f>HYPERLINK("https%3A%2F%2Fwww.webofscience.com%2Fwos%2Fwoscc%2Ffull-record%2FWOS:000175430900008","View Full Record in Web of Science")</f>
        <v>View Full Record in Web of Science</v>
      </c>
    </row>
    <row r="129" spans="1:72" x14ac:dyDescent="0.15">
      <c r="A129" t="s">
        <v>72</v>
      </c>
      <c r="B129" t="s">
        <v>2124</v>
      </c>
      <c r="C129" t="s">
        <v>74</v>
      </c>
      <c r="D129" t="s">
        <v>74</v>
      </c>
      <c r="E129" t="s">
        <v>74</v>
      </c>
      <c r="F129" t="s">
        <v>2124</v>
      </c>
      <c r="G129" t="s">
        <v>74</v>
      </c>
      <c r="H129" t="s">
        <v>74</v>
      </c>
      <c r="I129" t="s">
        <v>2125</v>
      </c>
      <c r="J129" t="s">
        <v>2126</v>
      </c>
      <c r="K129" t="s">
        <v>74</v>
      </c>
      <c r="L129" t="s">
        <v>74</v>
      </c>
      <c r="M129" t="s">
        <v>77</v>
      </c>
      <c r="N129" t="s">
        <v>1790</v>
      </c>
      <c r="O129" t="s">
        <v>74</v>
      </c>
      <c r="P129" t="s">
        <v>74</v>
      </c>
      <c r="Q129" t="s">
        <v>74</v>
      </c>
      <c r="R129" t="s">
        <v>74</v>
      </c>
      <c r="S129" t="s">
        <v>74</v>
      </c>
      <c r="T129" t="s">
        <v>74</v>
      </c>
      <c r="U129" t="s">
        <v>74</v>
      </c>
      <c r="V129" t="s">
        <v>74</v>
      </c>
      <c r="W129" t="s">
        <v>74</v>
      </c>
      <c r="X129" t="s">
        <v>74</v>
      </c>
      <c r="Y129" t="s">
        <v>74</v>
      </c>
      <c r="Z129" t="s">
        <v>74</v>
      </c>
      <c r="AA129" t="s">
        <v>74</v>
      </c>
      <c r="AB129" t="s">
        <v>74</v>
      </c>
      <c r="AC129" t="s">
        <v>74</v>
      </c>
      <c r="AD129" t="s">
        <v>74</v>
      </c>
      <c r="AE129" t="s">
        <v>74</v>
      </c>
      <c r="AF129" t="s">
        <v>74</v>
      </c>
      <c r="AG129">
        <v>0</v>
      </c>
      <c r="AH129">
        <v>0</v>
      </c>
      <c r="AI129">
        <v>0</v>
      </c>
      <c r="AJ129">
        <v>0</v>
      </c>
      <c r="AK129">
        <v>1</v>
      </c>
      <c r="AL129" t="s">
        <v>581</v>
      </c>
      <c r="AM129" t="s">
        <v>162</v>
      </c>
      <c r="AN129" t="s">
        <v>582</v>
      </c>
      <c r="AO129" t="s">
        <v>2127</v>
      </c>
      <c r="AP129" t="s">
        <v>74</v>
      </c>
      <c r="AQ129" t="s">
        <v>74</v>
      </c>
      <c r="AR129" t="s">
        <v>2128</v>
      </c>
      <c r="AS129" t="s">
        <v>2129</v>
      </c>
      <c r="AT129" t="s">
        <v>2130</v>
      </c>
      <c r="AU129">
        <v>2002</v>
      </c>
      <c r="AV129">
        <v>80</v>
      </c>
      <c r="AW129">
        <v>18</v>
      </c>
      <c r="AX129" t="s">
        <v>74</v>
      </c>
      <c r="AY129" t="s">
        <v>74</v>
      </c>
      <c r="AZ129" t="s">
        <v>74</v>
      </c>
      <c r="BA129" t="s">
        <v>74</v>
      </c>
      <c r="BB129">
        <v>43</v>
      </c>
      <c r="BC129">
        <v>43</v>
      </c>
      <c r="BD129" t="s">
        <v>74</v>
      </c>
      <c r="BE129" t="s">
        <v>74</v>
      </c>
      <c r="BF129" t="s">
        <v>74</v>
      </c>
      <c r="BG129" t="s">
        <v>74</v>
      </c>
      <c r="BH129" t="s">
        <v>74</v>
      </c>
      <c r="BI129">
        <v>1</v>
      </c>
      <c r="BJ129" t="s">
        <v>2131</v>
      </c>
      <c r="BK129" t="s">
        <v>170</v>
      </c>
      <c r="BL129" t="s">
        <v>2132</v>
      </c>
      <c r="BM129" t="s">
        <v>2133</v>
      </c>
      <c r="BN129" t="s">
        <v>74</v>
      </c>
      <c r="BO129" t="s">
        <v>74</v>
      </c>
      <c r="BP129" t="s">
        <v>74</v>
      </c>
      <c r="BQ129" t="s">
        <v>74</v>
      </c>
      <c r="BR129" t="s">
        <v>107</v>
      </c>
      <c r="BS129" t="s">
        <v>2134</v>
      </c>
      <c r="BT129" t="str">
        <f>HYPERLINK("https%3A%2F%2Fwww.webofscience.com%2Fwos%2Fwoscc%2Ffull-record%2FWOS:000175403500038","View Full Record in Web of Science")</f>
        <v>View Full Record in Web of Science</v>
      </c>
    </row>
    <row r="130" spans="1:72" x14ac:dyDescent="0.15">
      <c r="A130" t="s">
        <v>72</v>
      </c>
      <c r="B130" t="s">
        <v>2135</v>
      </c>
      <c r="C130" t="s">
        <v>74</v>
      </c>
      <c r="D130" t="s">
        <v>74</v>
      </c>
      <c r="E130" t="s">
        <v>74</v>
      </c>
      <c r="F130" t="s">
        <v>2135</v>
      </c>
      <c r="G130" t="s">
        <v>74</v>
      </c>
      <c r="H130" t="s">
        <v>74</v>
      </c>
      <c r="I130" t="s">
        <v>2136</v>
      </c>
      <c r="J130" t="s">
        <v>2137</v>
      </c>
      <c r="K130" t="s">
        <v>74</v>
      </c>
      <c r="L130" t="s">
        <v>74</v>
      </c>
      <c r="M130" t="s">
        <v>77</v>
      </c>
      <c r="N130" t="s">
        <v>78</v>
      </c>
      <c r="O130" t="s">
        <v>2138</v>
      </c>
      <c r="P130" t="s">
        <v>2139</v>
      </c>
      <c r="Q130" t="s">
        <v>2140</v>
      </c>
      <c r="R130" t="s">
        <v>74</v>
      </c>
      <c r="S130" t="s">
        <v>74</v>
      </c>
      <c r="T130" t="s">
        <v>2141</v>
      </c>
      <c r="U130" t="s">
        <v>2142</v>
      </c>
      <c r="V130" t="s">
        <v>2143</v>
      </c>
      <c r="W130" t="s">
        <v>2144</v>
      </c>
      <c r="X130" t="s">
        <v>2145</v>
      </c>
      <c r="Y130" t="s">
        <v>2146</v>
      </c>
      <c r="Z130" t="s">
        <v>2147</v>
      </c>
      <c r="AA130" t="s">
        <v>2148</v>
      </c>
      <c r="AB130" t="s">
        <v>2149</v>
      </c>
      <c r="AC130" t="s">
        <v>74</v>
      </c>
      <c r="AD130" t="s">
        <v>74</v>
      </c>
      <c r="AE130" t="s">
        <v>74</v>
      </c>
      <c r="AF130" t="s">
        <v>74</v>
      </c>
      <c r="AG130">
        <v>77</v>
      </c>
      <c r="AH130">
        <v>37</v>
      </c>
      <c r="AI130">
        <v>40</v>
      </c>
      <c r="AJ130">
        <v>0</v>
      </c>
      <c r="AK130">
        <v>4</v>
      </c>
      <c r="AL130" t="s">
        <v>90</v>
      </c>
      <c r="AM130" t="s">
        <v>91</v>
      </c>
      <c r="AN130" t="s">
        <v>92</v>
      </c>
      <c r="AO130" t="s">
        <v>2150</v>
      </c>
      <c r="AP130" t="s">
        <v>2151</v>
      </c>
      <c r="AQ130" t="s">
        <v>74</v>
      </c>
      <c r="AR130" t="s">
        <v>2137</v>
      </c>
      <c r="AS130" t="s">
        <v>2152</v>
      </c>
      <c r="AT130" t="s">
        <v>2130</v>
      </c>
      <c r="AU130">
        <v>2002</v>
      </c>
      <c r="AV130">
        <v>349</v>
      </c>
      <c r="AW130" t="s">
        <v>1834</v>
      </c>
      <c r="AX130" t="s">
        <v>74</v>
      </c>
      <c r="AY130" t="s">
        <v>74</v>
      </c>
      <c r="AZ130" t="s">
        <v>74</v>
      </c>
      <c r="BA130" t="s">
        <v>74</v>
      </c>
      <c r="BB130">
        <v>327</v>
      </c>
      <c r="BC130">
        <v>365</v>
      </c>
      <c r="BD130" t="s">
        <v>2153</v>
      </c>
      <c r="BE130" t="s">
        <v>2154</v>
      </c>
      <c r="BF130" t="str">
        <f>HYPERLINK("http://dx.doi.org/10.1016/S0040-1951(02)00060-4","http://dx.doi.org/10.1016/S0040-1951(02)00060-4")</f>
        <v>http://dx.doi.org/10.1016/S0040-1951(02)00060-4</v>
      </c>
      <c r="BG130" t="s">
        <v>74</v>
      </c>
      <c r="BH130" t="s">
        <v>74</v>
      </c>
      <c r="BI130">
        <v>39</v>
      </c>
      <c r="BJ130" t="s">
        <v>556</v>
      </c>
      <c r="BK130" t="s">
        <v>103</v>
      </c>
      <c r="BL130" t="s">
        <v>556</v>
      </c>
      <c r="BM130" t="s">
        <v>2155</v>
      </c>
      <c r="BN130" t="s">
        <v>74</v>
      </c>
      <c r="BO130" t="s">
        <v>74</v>
      </c>
      <c r="BP130" t="s">
        <v>74</v>
      </c>
      <c r="BQ130" t="s">
        <v>74</v>
      </c>
      <c r="BR130" t="s">
        <v>107</v>
      </c>
      <c r="BS130" t="s">
        <v>2156</v>
      </c>
      <c r="BT130" t="str">
        <f>HYPERLINK("https%3A%2F%2Fwww.webofscience.com%2Fwos%2Fwoscc%2Ffull-record%2FWOS:000176453000019","View Full Record in Web of Science")</f>
        <v>View Full Record in Web of Science</v>
      </c>
    </row>
    <row r="131" spans="1:72" x14ac:dyDescent="0.15">
      <c r="A131" t="s">
        <v>72</v>
      </c>
      <c r="B131" t="s">
        <v>2157</v>
      </c>
      <c r="C131" t="s">
        <v>74</v>
      </c>
      <c r="D131" t="s">
        <v>74</v>
      </c>
      <c r="E131" t="s">
        <v>74</v>
      </c>
      <c r="F131" t="s">
        <v>2157</v>
      </c>
      <c r="G131" t="s">
        <v>74</v>
      </c>
      <c r="H131" t="s">
        <v>74</v>
      </c>
      <c r="I131" t="s">
        <v>2158</v>
      </c>
      <c r="J131" t="s">
        <v>646</v>
      </c>
      <c r="K131" t="s">
        <v>74</v>
      </c>
      <c r="L131" t="s">
        <v>74</v>
      </c>
      <c r="M131" t="s">
        <v>77</v>
      </c>
      <c r="N131" t="s">
        <v>153</v>
      </c>
      <c r="O131" t="s">
        <v>74</v>
      </c>
      <c r="P131" t="s">
        <v>74</v>
      </c>
      <c r="Q131" t="s">
        <v>74</v>
      </c>
      <c r="R131" t="s">
        <v>74</v>
      </c>
      <c r="S131" t="s">
        <v>74</v>
      </c>
      <c r="T131" t="s">
        <v>74</v>
      </c>
      <c r="U131" t="s">
        <v>2159</v>
      </c>
      <c r="V131" t="s">
        <v>2160</v>
      </c>
      <c r="W131" t="s">
        <v>2161</v>
      </c>
      <c r="X131" t="s">
        <v>2162</v>
      </c>
      <c r="Y131" t="s">
        <v>2163</v>
      </c>
      <c r="Z131" t="s">
        <v>2164</v>
      </c>
      <c r="AA131" t="s">
        <v>2165</v>
      </c>
      <c r="AB131" t="s">
        <v>2166</v>
      </c>
      <c r="AC131" t="s">
        <v>74</v>
      </c>
      <c r="AD131" t="s">
        <v>74</v>
      </c>
      <c r="AE131" t="s">
        <v>74</v>
      </c>
      <c r="AF131" t="s">
        <v>74</v>
      </c>
      <c r="AG131">
        <v>45</v>
      </c>
      <c r="AH131">
        <v>1408</v>
      </c>
      <c r="AI131">
        <v>1594</v>
      </c>
      <c r="AJ131">
        <v>16</v>
      </c>
      <c r="AK131">
        <v>341</v>
      </c>
      <c r="AL131" t="s">
        <v>655</v>
      </c>
      <c r="AM131" t="s">
        <v>162</v>
      </c>
      <c r="AN131" t="s">
        <v>656</v>
      </c>
      <c r="AO131" t="s">
        <v>657</v>
      </c>
      <c r="AP131" t="s">
        <v>658</v>
      </c>
      <c r="AQ131" t="s">
        <v>74</v>
      </c>
      <c r="AR131" t="s">
        <v>646</v>
      </c>
      <c r="AS131" t="s">
        <v>659</v>
      </c>
      <c r="AT131" t="s">
        <v>2167</v>
      </c>
      <c r="AU131">
        <v>2002</v>
      </c>
      <c r="AV131">
        <v>296</v>
      </c>
      <c r="AW131">
        <v>5569</v>
      </c>
      <c r="AX131" t="s">
        <v>74</v>
      </c>
      <c r="AY131" t="s">
        <v>74</v>
      </c>
      <c r="AZ131" t="s">
        <v>74</v>
      </c>
      <c r="BA131" t="s">
        <v>74</v>
      </c>
      <c r="BB131">
        <v>895</v>
      </c>
      <c r="BC131">
        <v>899</v>
      </c>
      <c r="BD131" t="s">
        <v>74</v>
      </c>
      <c r="BE131" t="s">
        <v>2168</v>
      </c>
      <c r="BF131" t="str">
        <f>HYPERLINK("http://dx.doi.org/10.1126/science.1069270","http://dx.doi.org/10.1126/science.1069270")</f>
        <v>http://dx.doi.org/10.1126/science.1069270</v>
      </c>
      <c r="BG131" t="s">
        <v>74</v>
      </c>
      <c r="BH131" t="s">
        <v>74</v>
      </c>
      <c r="BI131">
        <v>5</v>
      </c>
      <c r="BJ131" t="s">
        <v>662</v>
      </c>
      <c r="BK131" t="s">
        <v>170</v>
      </c>
      <c r="BL131" t="s">
        <v>663</v>
      </c>
      <c r="BM131" t="s">
        <v>2169</v>
      </c>
      <c r="BN131">
        <v>11988571</v>
      </c>
      <c r="BO131" t="s">
        <v>74</v>
      </c>
      <c r="BP131" t="s">
        <v>74</v>
      </c>
      <c r="BQ131" t="s">
        <v>74</v>
      </c>
      <c r="BR131" t="s">
        <v>107</v>
      </c>
      <c r="BS131" t="s">
        <v>2170</v>
      </c>
      <c r="BT131" t="str">
        <f>HYPERLINK("https%3A%2F%2Fwww.webofscience.com%2Fwos%2Fwoscc%2Ffull-record%2FWOS:000175442500040","View Full Record in Web of Science")</f>
        <v>View Full Record in Web of Science</v>
      </c>
    </row>
    <row r="132" spans="1:72" x14ac:dyDescent="0.15">
      <c r="A132" t="s">
        <v>72</v>
      </c>
      <c r="B132" t="s">
        <v>2171</v>
      </c>
      <c r="C132" t="s">
        <v>74</v>
      </c>
      <c r="D132" t="s">
        <v>74</v>
      </c>
      <c r="E132" t="s">
        <v>74</v>
      </c>
      <c r="F132" t="s">
        <v>2171</v>
      </c>
      <c r="G132" t="s">
        <v>74</v>
      </c>
      <c r="H132" t="s">
        <v>74</v>
      </c>
      <c r="I132" t="s">
        <v>2172</v>
      </c>
      <c r="J132" t="s">
        <v>2173</v>
      </c>
      <c r="K132" t="s">
        <v>74</v>
      </c>
      <c r="L132" t="s">
        <v>74</v>
      </c>
      <c r="M132" t="s">
        <v>77</v>
      </c>
      <c r="N132" t="s">
        <v>153</v>
      </c>
      <c r="O132" t="s">
        <v>74</v>
      </c>
      <c r="P132" t="s">
        <v>74</v>
      </c>
      <c r="Q132" t="s">
        <v>74</v>
      </c>
      <c r="R132" t="s">
        <v>74</v>
      </c>
      <c r="S132" t="s">
        <v>74</v>
      </c>
      <c r="T132" t="s">
        <v>74</v>
      </c>
      <c r="U132" t="s">
        <v>2174</v>
      </c>
      <c r="V132" t="s">
        <v>2175</v>
      </c>
      <c r="W132" t="s">
        <v>2176</v>
      </c>
      <c r="X132" t="s">
        <v>2177</v>
      </c>
      <c r="Y132" t="s">
        <v>2178</v>
      </c>
      <c r="Z132" t="s">
        <v>2179</v>
      </c>
      <c r="AA132" t="s">
        <v>2180</v>
      </c>
      <c r="AB132" t="s">
        <v>2181</v>
      </c>
      <c r="AC132" t="s">
        <v>74</v>
      </c>
      <c r="AD132" t="s">
        <v>74</v>
      </c>
      <c r="AE132" t="s">
        <v>74</v>
      </c>
      <c r="AF132" t="s">
        <v>74</v>
      </c>
      <c r="AG132">
        <v>32</v>
      </c>
      <c r="AH132">
        <v>101</v>
      </c>
      <c r="AI132">
        <v>109</v>
      </c>
      <c r="AJ132">
        <v>0</v>
      </c>
      <c r="AK132">
        <v>16</v>
      </c>
      <c r="AL132" t="s">
        <v>581</v>
      </c>
      <c r="AM132" t="s">
        <v>162</v>
      </c>
      <c r="AN132" t="s">
        <v>582</v>
      </c>
      <c r="AO132" t="s">
        <v>2182</v>
      </c>
      <c r="AP132" t="s">
        <v>2183</v>
      </c>
      <c r="AQ132" t="s">
        <v>74</v>
      </c>
      <c r="AR132" t="s">
        <v>2184</v>
      </c>
      <c r="AS132" t="s">
        <v>2185</v>
      </c>
      <c r="AT132" t="s">
        <v>2186</v>
      </c>
      <c r="AU132">
        <v>2002</v>
      </c>
      <c r="AV132">
        <v>74</v>
      </c>
      <c r="AW132">
        <v>9</v>
      </c>
      <c r="AX132" t="s">
        <v>74</v>
      </c>
      <c r="AY132" t="s">
        <v>74</v>
      </c>
      <c r="AZ132" t="s">
        <v>74</v>
      </c>
      <c r="BA132" t="s">
        <v>74</v>
      </c>
      <c r="BB132">
        <v>2112</v>
      </c>
      <c r="BC132">
        <v>2118</v>
      </c>
      <c r="BD132" t="s">
        <v>74</v>
      </c>
      <c r="BE132" t="s">
        <v>2187</v>
      </c>
      <c r="BF132" t="str">
        <f>HYPERLINK("http://dx.doi.org/10.1021/ac011217u","http://dx.doi.org/10.1021/ac011217u")</f>
        <v>http://dx.doi.org/10.1021/ac011217u</v>
      </c>
      <c r="BG132" t="s">
        <v>74</v>
      </c>
      <c r="BH132" t="s">
        <v>74</v>
      </c>
      <c r="BI132">
        <v>7</v>
      </c>
      <c r="BJ132" t="s">
        <v>2188</v>
      </c>
      <c r="BK132" t="s">
        <v>170</v>
      </c>
      <c r="BL132" t="s">
        <v>2189</v>
      </c>
      <c r="BM132" t="s">
        <v>2190</v>
      </c>
      <c r="BN132">
        <v>12033314</v>
      </c>
      <c r="BO132" t="s">
        <v>2191</v>
      </c>
      <c r="BP132" t="s">
        <v>74</v>
      </c>
      <c r="BQ132" t="s">
        <v>74</v>
      </c>
      <c r="BR132" t="s">
        <v>107</v>
      </c>
      <c r="BS132" t="s">
        <v>2192</v>
      </c>
      <c r="BT132" t="str">
        <f>HYPERLINK("https%3A%2F%2Fwww.webofscience.com%2Fwos%2Fwoscc%2Ffull-record%2FWOS:000175358800052","View Full Record in Web of Science")</f>
        <v>View Full Record in Web of Science</v>
      </c>
    </row>
    <row r="133" spans="1:72" x14ac:dyDescent="0.15">
      <c r="A133" t="s">
        <v>72</v>
      </c>
      <c r="B133" t="s">
        <v>2193</v>
      </c>
      <c r="C133" t="s">
        <v>74</v>
      </c>
      <c r="D133" t="s">
        <v>74</v>
      </c>
      <c r="E133" t="s">
        <v>74</v>
      </c>
      <c r="F133" t="s">
        <v>2193</v>
      </c>
      <c r="G133" t="s">
        <v>74</v>
      </c>
      <c r="H133" t="s">
        <v>74</v>
      </c>
      <c r="I133" t="s">
        <v>2194</v>
      </c>
      <c r="J133" t="s">
        <v>2195</v>
      </c>
      <c r="K133" t="s">
        <v>74</v>
      </c>
      <c r="L133" t="s">
        <v>74</v>
      </c>
      <c r="M133" t="s">
        <v>77</v>
      </c>
      <c r="N133" t="s">
        <v>153</v>
      </c>
      <c r="O133" t="s">
        <v>74</v>
      </c>
      <c r="P133" t="s">
        <v>74</v>
      </c>
      <c r="Q133" t="s">
        <v>74</v>
      </c>
      <c r="R133" t="s">
        <v>74</v>
      </c>
      <c r="S133" t="s">
        <v>74</v>
      </c>
      <c r="T133" t="s">
        <v>74</v>
      </c>
      <c r="U133" t="s">
        <v>2196</v>
      </c>
      <c r="V133" t="s">
        <v>2197</v>
      </c>
      <c r="W133" t="s">
        <v>2198</v>
      </c>
      <c r="X133" t="s">
        <v>2199</v>
      </c>
      <c r="Y133" t="s">
        <v>2200</v>
      </c>
      <c r="Z133" t="s">
        <v>2201</v>
      </c>
      <c r="AA133" t="s">
        <v>74</v>
      </c>
      <c r="AB133" t="s">
        <v>74</v>
      </c>
      <c r="AC133" t="s">
        <v>74</v>
      </c>
      <c r="AD133" t="s">
        <v>74</v>
      </c>
      <c r="AE133" t="s">
        <v>74</v>
      </c>
      <c r="AF133" t="s">
        <v>74</v>
      </c>
      <c r="AG133">
        <v>49</v>
      </c>
      <c r="AH133">
        <v>41</v>
      </c>
      <c r="AI133">
        <v>51</v>
      </c>
      <c r="AJ133">
        <v>0</v>
      </c>
      <c r="AK133">
        <v>9</v>
      </c>
      <c r="AL133" t="s">
        <v>2202</v>
      </c>
      <c r="AM133" t="s">
        <v>1350</v>
      </c>
      <c r="AN133" t="s">
        <v>2203</v>
      </c>
      <c r="AO133" t="s">
        <v>2204</v>
      </c>
      <c r="AP133" t="s">
        <v>2205</v>
      </c>
      <c r="AQ133" t="s">
        <v>74</v>
      </c>
      <c r="AR133" t="s">
        <v>2206</v>
      </c>
      <c r="AS133" t="s">
        <v>2207</v>
      </c>
      <c r="AT133" t="s">
        <v>2208</v>
      </c>
      <c r="AU133">
        <v>2002</v>
      </c>
      <c r="AV133">
        <v>34</v>
      </c>
      <c r="AW133">
        <v>2</v>
      </c>
      <c r="AX133" t="s">
        <v>74</v>
      </c>
      <c r="AY133" t="s">
        <v>74</v>
      </c>
      <c r="AZ133" t="s">
        <v>74</v>
      </c>
      <c r="BA133" t="s">
        <v>74</v>
      </c>
      <c r="BB133">
        <v>119</v>
      </c>
      <c r="BC133">
        <v>129</v>
      </c>
      <c r="BD133" t="s">
        <v>74</v>
      </c>
      <c r="BE133" t="s">
        <v>2209</v>
      </c>
      <c r="BF133" t="str">
        <f>HYPERLINK("http://dx.doi.org/10.2307/1552463","http://dx.doi.org/10.2307/1552463")</f>
        <v>http://dx.doi.org/10.2307/1552463</v>
      </c>
      <c r="BG133" t="s">
        <v>74</v>
      </c>
      <c r="BH133" t="s">
        <v>74</v>
      </c>
      <c r="BI133">
        <v>11</v>
      </c>
      <c r="BJ133" t="s">
        <v>2210</v>
      </c>
      <c r="BK133" t="s">
        <v>170</v>
      </c>
      <c r="BL133" t="s">
        <v>2211</v>
      </c>
      <c r="BM133" t="s">
        <v>2212</v>
      </c>
      <c r="BN133" t="s">
        <v>74</v>
      </c>
      <c r="BO133" t="s">
        <v>173</v>
      </c>
      <c r="BP133" t="s">
        <v>74</v>
      </c>
      <c r="BQ133" t="s">
        <v>74</v>
      </c>
      <c r="BR133" t="s">
        <v>107</v>
      </c>
      <c r="BS133" t="s">
        <v>2213</v>
      </c>
      <c r="BT133" t="str">
        <f>HYPERLINK("https%3A%2F%2Fwww.webofscience.com%2Fwos%2Fwoscc%2Ffull-record%2FWOS:000176962800001","View Full Record in Web of Science")</f>
        <v>View Full Record in Web of Science</v>
      </c>
    </row>
    <row r="134" spans="1:72" x14ac:dyDescent="0.15">
      <c r="A134" t="s">
        <v>72</v>
      </c>
      <c r="B134" t="s">
        <v>2214</v>
      </c>
      <c r="C134" t="s">
        <v>74</v>
      </c>
      <c r="D134" t="s">
        <v>74</v>
      </c>
      <c r="E134" t="s">
        <v>74</v>
      </c>
      <c r="F134" t="s">
        <v>2214</v>
      </c>
      <c r="G134" t="s">
        <v>74</v>
      </c>
      <c r="H134" t="s">
        <v>74</v>
      </c>
      <c r="I134" t="s">
        <v>2215</v>
      </c>
      <c r="J134" t="s">
        <v>2195</v>
      </c>
      <c r="K134" t="s">
        <v>74</v>
      </c>
      <c r="L134" t="s">
        <v>74</v>
      </c>
      <c r="M134" t="s">
        <v>77</v>
      </c>
      <c r="N134" t="s">
        <v>153</v>
      </c>
      <c r="O134" t="s">
        <v>74</v>
      </c>
      <c r="P134" t="s">
        <v>74</v>
      </c>
      <c r="Q134" t="s">
        <v>74</v>
      </c>
      <c r="R134" t="s">
        <v>74</v>
      </c>
      <c r="S134" t="s">
        <v>74</v>
      </c>
      <c r="T134" t="s">
        <v>74</v>
      </c>
      <c r="U134" t="s">
        <v>2216</v>
      </c>
      <c r="V134" t="s">
        <v>2217</v>
      </c>
      <c r="W134" t="s">
        <v>2198</v>
      </c>
      <c r="X134" t="s">
        <v>2199</v>
      </c>
      <c r="Y134" t="s">
        <v>2218</v>
      </c>
      <c r="Z134" t="s">
        <v>74</v>
      </c>
      <c r="AA134" t="s">
        <v>74</v>
      </c>
      <c r="AB134" t="s">
        <v>74</v>
      </c>
      <c r="AC134" t="s">
        <v>74</v>
      </c>
      <c r="AD134" t="s">
        <v>74</v>
      </c>
      <c r="AE134" t="s">
        <v>74</v>
      </c>
      <c r="AF134" t="s">
        <v>74</v>
      </c>
      <c r="AG134">
        <v>40</v>
      </c>
      <c r="AH134">
        <v>32</v>
      </c>
      <c r="AI134">
        <v>37</v>
      </c>
      <c r="AJ134">
        <v>0</v>
      </c>
      <c r="AK134">
        <v>13</v>
      </c>
      <c r="AL134" t="s">
        <v>2202</v>
      </c>
      <c r="AM134" t="s">
        <v>1350</v>
      </c>
      <c r="AN134" t="s">
        <v>2203</v>
      </c>
      <c r="AO134" t="s">
        <v>2204</v>
      </c>
      <c r="AP134" t="s">
        <v>74</v>
      </c>
      <c r="AQ134" t="s">
        <v>74</v>
      </c>
      <c r="AR134" t="s">
        <v>2206</v>
      </c>
      <c r="AS134" t="s">
        <v>2207</v>
      </c>
      <c r="AT134" t="s">
        <v>2208</v>
      </c>
      <c r="AU134">
        <v>2002</v>
      </c>
      <c r="AV134">
        <v>34</v>
      </c>
      <c r="AW134">
        <v>2</v>
      </c>
      <c r="AX134" t="s">
        <v>74</v>
      </c>
      <c r="AY134" t="s">
        <v>74</v>
      </c>
      <c r="AZ134" t="s">
        <v>74</v>
      </c>
      <c r="BA134" t="s">
        <v>74</v>
      </c>
      <c r="BB134">
        <v>130</v>
      </c>
      <c r="BC134">
        <v>141</v>
      </c>
      <c r="BD134" t="s">
        <v>74</v>
      </c>
      <c r="BE134" t="s">
        <v>2219</v>
      </c>
      <c r="BF134" t="str">
        <f>HYPERLINK("http://dx.doi.org/10.2307/1552464","http://dx.doi.org/10.2307/1552464")</f>
        <v>http://dx.doi.org/10.2307/1552464</v>
      </c>
      <c r="BG134" t="s">
        <v>74</v>
      </c>
      <c r="BH134" t="s">
        <v>74</v>
      </c>
      <c r="BI134">
        <v>12</v>
      </c>
      <c r="BJ134" t="s">
        <v>2210</v>
      </c>
      <c r="BK134" t="s">
        <v>170</v>
      </c>
      <c r="BL134" t="s">
        <v>2211</v>
      </c>
      <c r="BM134" t="s">
        <v>2212</v>
      </c>
      <c r="BN134" t="s">
        <v>74</v>
      </c>
      <c r="BO134" t="s">
        <v>173</v>
      </c>
      <c r="BP134" t="s">
        <v>74</v>
      </c>
      <c r="BQ134" t="s">
        <v>74</v>
      </c>
      <c r="BR134" t="s">
        <v>107</v>
      </c>
      <c r="BS134" t="s">
        <v>2220</v>
      </c>
      <c r="BT134" t="str">
        <f>HYPERLINK("https%3A%2F%2Fwww.webofscience.com%2Fwos%2Fwoscc%2Ffull-record%2FWOS:000176962800002","View Full Record in Web of Science")</f>
        <v>View Full Record in Web of Science</v>
      </c>
    </row>
    <row r="135" spans="1:72" x14ac:dyDescent="0.15">
      <c r="A135" t="s">
        <v>72</v>
      </c>
      <c r="B135" t="s">
        <v>2221</v>
      </c>
      <c r="C135" t="s">
        <v>74</v>
      </c>
      <c r="D135" t="s">
        <v>74</v>
      </c>
      <c r="E135" t="s">
        <v>74</v>
      </c>
      <c r="F135" t="s">
        <v>2221</v>
      </c>
      <c r="G135" t="s">
        <v>74</v>
      </c>
      <c r="H135" t="s">
        <v>74</v>
      </c>
      <c r="I135" t="s">
        <v>2222</v>
      </c>
      <c r="J135" t="s">
        <v>2195</v>
      </c>
      <c r="K135" t="s">
        <v>74</v>
      </c>
      <c r="L135" t="s">
        <v>74</v>
      </c>
      <c r="M135" t="s">
        <v>77</v>
      </c>
      <c r="N135" t="s">
        <v>153</v>
      </c>
      <c r="O135" t="s">
        <v>74</v>
      </c>
      <c r="P135" t="s">
        <v>74</v>
      </c>
      <c r="Q135" t="s">
        <v>74</v>
      </c>
      <c r="R135" t="s">
        <v>74</v>
      </c>
      <c r="S135" t="s">
        <v>74</v>
      </c>
      <c r="T135" t="s">
        <v>74</v>
      </c>
      <c r="U135" t="s">
        <v>2223</v>
      </c>
      <c r="V135" t="s">
        <v>2224</v>
      </c>
      <c r="W135" t="s">
        <v>2225</v>
      </c>
      <c r="X135" t="s">
        <v>2226</v>
      </c>
      <c r="Y135" t="s">
        <v>2227</v>
      </c>
      <c r="Z135" t="s">
        <v>2228</v>
      </c>
      <c r="AA135" t="s">
        <v>74</v>
      </c>
      <c r="AB135" t="s">
        <v>74</v>
      </c>
      <c r="AC135" t="s">
        <v>74</v>
      </c>
      <c r="AD135" t="s">
        <v>74</v>
      </c>
      <c r="AE135" t="s">
        <v>74</v>
      </c>
      <c r="AF135" t="s">
        <v>74</v>
      </c>
      <c r="AG135">
        <v>27</v>
      </c>
      <c r="AH135">
        <v>99</v>
      </c>
      <c r="AI135">
        <v>107</v>
      </c>
      <c r="AJ135">
        <v>0</v>
      </c>
      <c r="AK135">
        <v>23</v>
      </c>
      <c r="AL135" t="s">
        <v>2202</v>
      </c>
      <c r="AM135" t="s">
        <v>1350</v>
      </c>
      <c r="AN135" t="s">
        <v>2203</v>
      </c>
      <c r="AO135" t="s">
        <v>2204</v>
      </c>
      <c r="AP135" t="s">
        <v>74</v>
      </c>
      <c r="AQ135" t="s">
        <v>74</v>
      </c>
      <c r="AR135" t="s">
        <v>2206</v>
      </c>
      <c r="AS135" t="s">
        <v>2207</v>
      </c>
      <c r="AT135" t="s">
        <v>2208</v>
      </c>
      <c r="AU135">
        <v>2002</v>
      </c>
      <c r="AV135">
        <v>34</v>
      </c>
      <c r="AW135">
        <v>2</v>
      </c>
      <c r="AX135" t="s">
        <v>74</v>
      </c>
      <c r="AY135" t="s">
        <v>74</v>
      </c>
      <c r="AZ135" t="s">
        <v>74</v>
      </c>
      <c r="BA135" t="s">
        <v>74</v>
      </c>
      <c r="BB135">
        <v>142</v>
      </c>
      <c r="BC135">
        <v>149</v>
      </c>
      <c r="BD135" t="s">
        <v>74</v>
      </c>
      <c r="BE135" t="s">
        <v>2229</v>
      </c>
      <c r="BF135" t="str">
        <f>HYPERLINK("http://dx.doi.org/10.2307/1552465","http://dx.doi.org/10.2307/1552465")</f>
        <v>http://dx.doi.org/10.2307/1552465</v>
      </c>
      <c r="BG135" t="s">
        <v>74</v>
      </c>
      <c r="BH135" t="s">
        <v>74</v>
      </c>
      <c r="BI135">
        <v>8</v>
      </c>
      <c r="BJ135" t="s">
        <v>2210</v>
      </c>
      <c r="BK135" t="s">
        <v>170</v>
      </c>
      <c r="BL135" t="s">
        <v>2211</v>
      </c>
      <c r="BM135" t="s">
        <v>2212</v>
      </c>
      <c r="BN135" t="s">
        <v>74</v>
      </c>
      <c r="BO135" t="s">
        <v>74</v>
      </c>
      <c r="BP135" t="s">
        <v>74</v>
      </c>
      <c r="BQ135" t="s">
        <v>74</v>
      </c>
      <c r="BR135" t="s">
        <v>107</v>
      </c>
      <c r="BS135" t="s">
        <v>2230</v>
      </c>
      <c r="BT135" t="str">
        <f>HYPERLINK("https%3A%2F%2Fwww.webofscience.com%2Fwos%2Fwoscc%2Ffull-record%2FWOS:000176962800003","View Full Record in Web of Science")</f>
        <v>View Full Record in Web of Science</v>
      </c>
    </row>
    <row r="136" spans="1:72" x14ac:dyDescent="0.15">
      <c r="A136" t="s">
        <v>72</v>
      </c>
      <c r="B136" t="s">
        <v>2231</v>
      </c>
      <c r="C136" t="s">
        <v>74</v>
      </c>
      <c r="D136" t="s">
        <v>74</v>
      </c>
      <c r="E136" t="s">
        <v>74</v>
      </c>
      <c r="F136" t="s">
        <v>2231</v>
      </c>
      <c r="G136" t="s">
        <v>74</v>
      </c>
      <c r="H136" t="s">
        <v>74</v>
      </c>
      <c r="I136" t="s">
        <v>2232</v>
      </c>
      <c r="J136" t="s">
        <v>2195</v>
      </c>
      <c r="K136" t="s">
        <v>74</v>
      </c>
      <c r="L136" t="s">
        <v>74</v>
      </c>
      <c r="M136" t="s">
        <v>77</v>
      </c>
      <c r="N136" t="s">
        <v>153</v>
      </c>
      <c r="O136" t="s">
        <v>74</v>
      </c>
      <c r="P136" t="s">
        <v>74</v>
      </c>
      <c r="Q136" t="s">
        <v>74</v>
      </c>
      <c r="R136" t="s">
        <v>74</v>
      </c>
      <c r="S136" t="s">
        <v>74</v>
      </c>
      <c r="T136" t="s">
        <v>74</v>
      </c>
      <c r="U136" t="s">
        <v>2233</v>
      </c>
      <c r="V136" t="s">
        <v>2234</v>
      </c>
      <c r="W136" t="s">
        <v>2235</v>
      </c>
      <c r="X136" t="s">
        <v>2236</v>
      </c>
      <c r="Y136" t="s">
        <v>2237</v>
      </c>
      <c r="Z136" t="s">
        <v>74</v>
      </c>
      <c r="AA136" t="s">
        <v>2238</v>
      </c>
      <c r="AB136" t="s">
        <v>74</v>
      </c>
      <c r="AC136" t="s">
        <v>74</v>
      </c>
      <c r="AD136" t="s">
        <v>74</v>
      </c>
      <c r="AE136" t="s">
        <v>74</v>
      </c>
      <c r="AF136" t="s">
        <v>74</v>
      </c>
      <c r="AG136">
        <v>35</v>
      </c>
      <c r="AH136">
        <v>8</v>
      </c>
      <c r="AI136">
        <v>10</v>
      </c>
      <c r="AJ136">
        <v>0</v>
      </c>
      <c r="AK136">
        <v>5</v>
      </c>
      <c r="AL136" t="s">
        <v>2202</v>
      </c>
      <c r="AM136" t="s">
        <v>1350</v>
      </c>
      <c r="AN136" t="s">
        <v>2203</v>
      </c>
      <c r="AO136" t="s">
        <v>2204</v>
      </c>
      <c r="AP136" t="s">
        <v>74</v>
      </c>
      <c r="AQ136" t="s">
        <v>74</v>
      </c>
      <c r="AR136" t="s">
        <v>2206</v>
      </c>
      <c r="AS136" t="s">
        <v>2207</v>
      </c>
      <c r="AT136" t="s">
        <v>2208</v>
      </c>
      <c r="AU136">
        <v>2002</v>
      </c>
      <c r="AV136">
        <v>34</v>
      </c>
      <c r="AW136">
        <v>2</v>
      </c>
      <c r="AX136" t="s">
        <v>74</v>
      </c>
      <c r="AY136" t="s">
        <v>74</v>
      </c>
      <c r="AZ136" t="s">
        <v>74</v>
      </c>
      <c r="BA136" t="s">
        <v>74</v>
      </c>
      <c r="BB136">
        <v>150</v>
      </c>
      <c r="BC136">
        <v>158</v>
      </c>
      <c r="BD136" t="s">
        <v>74</v>
      </c>
      <c r="BE136" t="s">
        <v>2239</v>
      </c>
      <c r="BF136" t="str">
        <f>HYPERLINK("http://dx.doi.org/10.2307/1552466","http://dx.doi.org/10.2307/1552466")</f>
        <v>http://dx.doi.org/10.2307/1552466</v>
      </c>
      <c r="BG136" t="s">
        <v>74</v>
      </c>
      <c r="BH136" t="s">
        <v>74</v>
      </c>
      <c r="BI136">
        <v>9</v>
      </c>
      <c r="BJ136" t="s">
        <v>2210</v>
      </c>
      <c r="BK136" t="s">
        <v>170</v>
      </c>
      <c r="BL136" t="s">
        <v>2211</v>
      </c>
      <c r="BM136" t="s">
        <v>2212</v>
      </c>
      <c r="BN136" t="s">
        <v>74</v>
      </c>
      <c r="BO136" t="s">
        <v>74</v>
      </c>
      <c r="BP136" t="s">
        <v>74</v>
      </c>
      <c r="BQ136" t="s">
        <v>74</v>
      </c>
      <c r="BR136" t="s">
        <v>107</v>
      </c>
      <c r="BS136" t="s">
        <v>2240</v>
      </c>
      <c r="BT136" t="str">
        <f>HYPERLINK("https%3A%2F%2Fwww.webofscience.com%2Fwos%2Fwoscc%2Ffull-record%2FWOS:000176962800004","View Full Record in Web of Science")</f>
        <v>View Full Record in Web of Science</v>
      </c>
    </row>
    <row r="137" spans="1:72" x14ac:dyDescent="0.15">
      <c r="A137" t="s">
        <v>72</v>
      </c>
      <c r="B137" t="s">
        <v>2241</v>
      </c>
      <c r="C137" t="s">
        <v>74</v>
      </c>
      <c r="D137" t="s">
        <v>74</v>
      </c>
      <c r="E137" t="s">
        <v>74</v>
      </c>
      <c r="F137" t="s">
        <v>2241</v>
      </c>
      <c r="G137" t="s">
        <v>74</v>
      </c>
      <c r="H137" t="s">
        <v>74</v>
      </c>
      <c r="I137" t="s">
        <v>2242</v>
      </c>
      <c r="J137" t="s">
        <v>2195</v>
      </c>
      <c r="K137" t="s">
        <v>74</v>
      </c>
      <c r="L137" t="s">
        <v>74</v>
      </c>
      <c r="M137" t="s">
        <v>77</v>
      </c>
      <c r="N137" t="s">
        <v>153</v>
      </c>
      <c r="O137" t="s">
        <v>74</v>
      </c>
      <c r="P137" t="s">
        <v>74</v>
      </c>
      <c r="Q137" t="s">
        <v>74</v>
      </c>
      <c r="R137" t="s">
        <v>74</v>
      </c>
      <c r="S137" t="s">
        <v>74</v>
      </c>
      <c r="T137" t="s">
        <v>74</v>
      </c>
      <c r="U137" t="s">
        <v>2243</v>
      </c>
      <c r="V137" t="s">
        <v>2244</v>
      </c>
      <c r="W137" t="s">
        <v>2245</v>
      </c>
      <c r="X137" t="s">
        <v>2246</v>
      </c>
      <c r="Y137" t="s">
        <v>2247</v>
      </c>
      <c r="Z137" t="s">
        <v>2248</v>
      </c>
      <c r="AA137" t="s">
        <v>2249</v>
      </c>
      <c r="AB137" t="s">
        <v>74</v>
      </c>
      <c r="AC137" t="s">
        <v>74</v>
      </c>
      <c r="AD137" t="s">
        <v>74</v>
      </c>
      <c r="AE137" t="s">
        <v>74</v>
      </c>
      <c r="AF137" t="s">
        <v>74</v>
      </c>
      <c r="AG137">
        <v>33</v>
      </c>
      <c r="AH137">
        <v>42</v>
      </c>
      <c r="AI137">
        <v>52</v>
      </c>
      <c r="AJ137">
        <v>3</v>
      </c>
      <c r="AK137">
        <v>21</v>
      </c>
      <c r="AL137" t="s">
        <v>453</v>
      </c>
      <c r="AM137" t="s">
        <v>454</v>
      </c>
      <c r="AN137" t="s">
        <v>455</v>
      </c>
      <c r="AO137" t="s">
        <v>2204</v>
      </c>
      <c r="AP137" t="s">
        <v>2205</v>
      </c>
      <c r="AQ137" t="s">
        <v>74</v>
      </c>
      <c r="AR137" t="s">
        <v>2206</v>
      </c>
      <c r="AS137" t="s">
        <v>2207</v>
      </c>
      <c r="AT137" t="s">
        <v>2208</v>
      </c>
      <c r="AU137">
        <v>2002</v>
      </c>
      <c r="AV137">
        <v>34</v>
      </c>
      <c r="AW137">
        <v>2</v>
      </c>
      <c r="AX137" t="s">
        <v>74</v>
      </c>
      <c r="AY137" t="s">
        <v>74</v>
      </c>
      <c r="AZ137" t="s">
        <v>74</v>
      </c>
      <c r="BA137" t="s">
        <v>74</v>
      </c>
      <c r="BB137">
        <v>159</v>
      </c>
      <c r="BC137">
        <v>168</v>
      </c>
      <c r="BD137" t="s">
        <v>74</v>
      </c>
      <c r="BE137" t="s">
        <v>2250</v>
      </c>
      <c r="BF137" t="str">
        <f>HYPERLINK("http://dx.doi.org/10.2307/1552467","http://dx.doi.org/10.2307/1552467")</f>
        <v>http://dx.doi.org/10.2307/1552467</v>
      </c>
      <c r="BG137" t="s">
        <v>74</v>
      </c>
      <c r="BH137" t="s">
        <v>74</v>
      </c>
      <c r="BI137">
        <v>10</v>
      </c>
      <c r="BJ137" t="s">
        <v>2210</v>
      </c>
      <c r="BK137" t="s">
        <v>170</v>
      </c>
      <c r="BL137" t="s">
        <v>2211</v>
      </c>
      <c r="BM137" t="s">
        <v>2212</v>
      </c>
      <c r="BN137" t="s">
        <v>74</v>
      </c>
      <c r="BO137" t="s">
        <v>74</v>
      </c>
      <c r="BP137" t="s">
        <v>74</v>
      </c>
      <c r="BQ137" t="s">
        <v>74</v>
      </c>
      <c r="BR137" t="s">
        <v>107</v>
      </c>
      <c r="BS137" t="s">
        <v>2251</v>
      </c>
      <c r="BT137" t="str">
        <f>HYPERLINK("https%3A%2F%2Fwww.webofscience.com%2Fwos%2Fwoscc%2Ffull-record%2FWOS:000176962800005","View Full Record in Web of Science")</f>
        <v>View Full Record in Web of Science</v>
      </c>
    </row>
    <row r="138" spans="1:72" x14ac:dyDescent="0.15">
      <c r="A138" t="s">
        <v>72</v>
      </c>
      <c r="B138" t="s">
        <v>2252</v>
      </c>
      <c r="C138" t="s">
        <v>74</v>
      </c>
      <c r="D138" t="s">
        <v>74</v>
      </c>
      <c r="E138" t="s">
        <v>74</v>
      </c>
      <c r="F138" t="s">
        <v>2252</v>
      </c>
      <c r="G138" t="s">
        <v>74</v>
      </c>
      <c r="H138" t="s">
        <v>74</v>
      </c>
      <c r="I138" t="s">
        <v>2253</v>
      </c>
      <c r="J138" t="s">
        <v>2195</v>
      </c>
      <c r="K138" t="s">
        <v>74</v>
      </c>
      <c r="L138" t="s">
        <v>74</v>
      </c>
      <c r="M138" t="s">
        <v>77</v>
      </c>
      <c r="N138" t="s">
        <v>153</v>
      </c>
      <c r="O138" t="s">
        <v>74</v>
      </c>
      <c r="P138" t="s">
        <v>74</v>
      </c>
      <c r="Q138" t="s">
        <v>74</v>
      </c>
      <c r="R138" t="s">
        <v>74</v>
      </c>
      <c r="S138" t="s">
        <v>74</v>
      </c>
      <c r="T138" t="s">
        <v>74</v>
      </c>
      <c r="U138" t="s">
        <v>74</v>
      </c>
      <c r="V138" t="s">
        <v>2254</v>
      </c>
      <c r="W138" t="s">
        <v>2255</v>
      </c>
      <c r="X138" t="s">
        <v>2256</v>
      </c>
      <c r="Y138" t="s">
        <v>2257</v>
      </c>
      <c r="Z138" t="s">
        <v>74</v>
      </c>
      <c r="AA138" t="s">
        <v>2258</v>
      </c>
      <c r="AB138" t="s">
        <v>2259</v>
      </c>
      <c r="AC138" t="s">
        <v>74</v>
      </c>
      <c r="AD138" t="s">
        <v>74</v>
      </c>
      <c r="AE138" t="s">
        <v>74</v>
      </c>
      <c r="AF138" t="s">
        <v>74</v>
      </c>
      <c r="AG138">
        <v>32</v>
      </c>
      <c r="AH138">
        <v>12</v>
      </c>
      <c r="AI138">
        <v>14</v>
      </c>
      <c r="AJ138">
        <v>2</v>
      </c>
      <c r="AK138">
        <v>26</v>
      </c>
      <c r="AL138" t="s">
        <v>2202</v>
      </c>
      <c r="AM138" t="s">
        <v>1350</v>
      </c>
      <c r="AN138" t="s">
        <v>2203</v>
      </c>
      <c r="AO138" t="s">
        <v>2204</v>
      </c>
      <c r="AP138" t="s">
        <v>74</v>
      </c>
      <c r="AQ138" t="s">
        <v>74</v>
      </c>
      <c r="AR138" t="s">
        <v>2206</v>
      </c>
      <c r="AS138" t="s">
        <v>2207</v>
      </c>
      <c r="AT138" t="s">
        <v>2208</v>
      </c>
      <c r="AU138">
        <v>2002</v>
      </c>
      <c r="AV138">
        <v>34</v>
      </c>
      <c r="AW138">
        <v>2</v>
      </c>
      <c r="AX138" t="s">
        <v>74</v>
      </c>
      <c r="AY138" t="s">
        <v>74</v>
      </c>
      <c r="AZ138" t="s">
        <v>74</v>
      </c>
      <c r="BA138" t="s">
        <v>74</v>
      </c>
      <c r="BB138">
        <v>169</v>
      </c>
      <c r="BC138">
        <v>177</v>
      </c>
      <c r="BD138" t="s">
        <v>74</v>
      </c>
      <c r="BE138" t="s">
        <v>2260</v>
      </c>
      <c r="BF138" t="str">
        <f>HYPERLINK("http://dx.doi.org/10.2307/1552468","http://dx.doi.org/10.2307/1552468")</f>
        <v>http://dx.doi.org/10.2307/1552468</v>
      </c>
      <c r="BG138" t="s">
        <v>74</v>
      </c>
      <c r="BH138" t="s">
        <v>74</v>
      </c>
      <c r="BI138">
        <v>9</v>
      </c>
      <c r="BJ138" t="s">
        <v>2210</v>
      </c>
      <c r="BK138" t="s">
        <v>170</v>
      </c>
      <c r="BL138" t="s">
        <v>2211</v>
      </c>
      <c r="BM138" t="s">
        <v>2212</v>
      </c>
      <c r="BN138" t="s">
        <v>74</v>
      </c>
      <c r="BO138" t="s">
        <v>173</v>
      </c>
      <c r="BP138" t="s">
        <v>74</v>
      </c>
      <c r="BQ138" t="s">
        <v>74</v>
      </c>
      <c r="BR138" t="s">
        <v>107</v>
      </c>
      <c r="BS138" t="s">
        <v>2261</v>
      </c>
      <c r="BT138" t="str">
        <f>HYPERLINK("https%3A%2F%2Fwww.webofscience.com%2Fwos%2Fwoscc%2Ffull-record%2FWOS:000176962800006","View Full Record in Web of Science")</f>
        <v>View Full Record in Web of Science</v>
      </c>
    </row>
    <row r="139" spans="1:72" x14ac:dyDescent="0.15">
      <c r="A139" t="s">
        <v>72</v>
      </c>
      <c r="B139" t="s">
        <v>2262</v>
      </c>
      <c r="C139" t="s">
        <v>74</v>
      </c>
      <c r="D139" t="s">
        <v>74</v>
      </c>
      <c r="E139" t="s">
        <v>74</v>
      </c>
      <c r="F139" t="s">
        <v>2262</v>
      </c>
      <c r="G139" t="s">
        <v>74</v>
      </c>
      <c r="H139" t="s">
        <v>74</v>
      </c>
      <c r="I139" t="s">
        <v>2263</v>
      </c>
      <c r="J139" t="s">
        <v>2195</v>
      </c>
      <c r="K139" t="s">
        <v>74</v>
      </c>
      <c r="L139" t="s">
        <v>74</v>
      </c>
      <c r="M139" t="s">
        <v>77</v>
      </c>
      <c r="N139" t="s">
        <v>153</v>
      </c>
      <c r="O139" t="s">
        <v>74</v>
      </c>
      <c r="P139" t="s">
        <v>74</v>
      </c>
      <c r="Q139" t="s">
        <v>74</v>
      </c>
      <c r="R139" t="s">
        <v>74</v>
      </c>
      <c r="S139" t="s">
        <v>74</v>
      </c>
      <c r="T139" t="s">
        <v>74</v>
      </c>
      <c r="U139" t="s">
        <v>2264</v>
      </c>
      <c r="V139" t="s">
        <v>2265</v>
      </c>
      <c r="W139" t="s">
        <v>2266</v>
      </c>
      <c r="X139" t="s">
        <v>2267</v>
      </c>
      <c r="Y139" t="s">
        <v>2268</v>
      </c>
      <c r="Z139" t="s">
        <v>74</v>
      </c>
      <c r="AA139" t="s">
        <v>74</v>
      </c>
      <c r="AB139" t="s">
        <v>74</v>
      </c>
      <c r="AC139" t="s">
        <v>74</v>
      </c>
      <c r="AD139" t="s">
        <v>74</v>
      </c>
      <c r="AE139" t="s">
        <v>74</v>
      </c>
      <c r="AF139" t="s">
        <v>74</v>
      </c>
      <c r="AG139">
        <v>63</v>
      </c>
      <c r="AH139">
        <v>9</v>
      </c>
      <c r="AI139">
        <v>11</v>
      </c>
      <c r="AJ139">
        <v>1</v>
      </c>
      <c r="AK139">
        <v>18</v>
      </c>
      <c r="AL139" t="s">
        <v>2202</v>
      </c>
      <c r="AM139" t="s">
        <v>1350</v>
      </c>
      <c r="AN139" t="s">
        <v>2203</v>
      </c>
      <c r="AO139" t="s">
        <v>2204</v>
      </c>
      <c r="AP139" t="s">
        <v>74</v>
      </c>
      <c r="AQ139" t="s">
        <v>74</v>
      </c>
      <c r="AR139" t="s">
        <v>2206</v>
      </c>
      <c r="AS139" t="s">
        <v>2207</v>
      </c>
      <c r="AT139" t="s">
        <v>2208</v>
      </c>
      <c r="AU139">
        <v>2002</v>
      </c>
      <c r="AV139">
        <v>34</v>
      </c>
      <c r="AW139">
        <v>2</v>
      </c>
      <c r="AX139" t="s">
        <v>74</v>
      </c>
      <c r="AY139" t="s">
        <v>74</v>
      </c>
      <c r="AZ139" t="s">
        <v>74</v>
      </c>
      <c r="BA139" t="s">
        <v>74</v>
      </c>
      <c r="BB139">
        <v>178</v>
      </c>
      <c r="BC139">
        <v>184</v>
      </c>
      <c r="BD139" t="s">
        <v>74</v>
      </c>
      <c r="BE139" t="s">
        <v>2269</v>
      </c>
      <c r="BF139" t="str">
        <f>HYPERLINK("http://dx.doi.org/10.2307/1552469","http://dx.doi.org/10.2307/1552469")</f>
        <v>http://dx.doi.org/10.2307/1552469</v>
      </c>
      <c r="BG139" t="s">
        <v>74</v>
      </c>
      <c r="BH139" t="s">
        <v>74</v>
      </c>
      <c r="BI139">
        <v>7</v>
      </c>
      <c r="BJ139" t="s">
        <v>2210</v>
      </c>
      <c r="BK139" t="s">
        <v>170</v>
      </c>
      <c r="BL139" t="s">
        <v>2211</v>
      </c>
      <c r="BM139" t="s">
        <v>2212</v>
      </c>
      <c r="BN139" t="s">
        <v>74</v>
      </c>
      <c r="BO139" t="s">
        <v>173</v>
      </c>
      <c r="BP139" t="s">
        <v>74</v>
      </c>
      <c r="BQ139" t="s">
        <v>74</v>
      </c>
      <c r="BR139" t="s">
        <v>107</v>
      </c>
      <c r="BS139" t="s">
        <v>2270</v>
      </c>
      <c r="BT139" t="str">
        <f>HYPERLINK("https%3A%2F%2Fwww.webofscience.com%2Fwos%2Fwoscc%2Ffull-record%2FWOS:000176962800007","View Full Record in Web of Science")</f>
        <v>View Full Record in Web of Science</v>
      </c>
    </row>
    <row r="140" spans="1:72" x14ac:dyDescent="0.15">
      <c r="A140" t="s">
        <v>72</v>
      </c>
      <c r="B140" t="s">
        <v>2271</v>
      </c>
      <c r="C140" t="s">
        <v>74</v>
      </c>
      <c r="D140" t="s">
        <v>74</v>
      </c>
      <c r="E140" t="s">
        <v>74</v>
      </c>
      <c r="F140" t="s">
        <v>2271</v>
      </c>
      <c r="G140" t="s">
        <v>74</v>
      </c>
      <c r="H140" t="s">
        <v>74</v>
      </c>
      <c r="I140" t="s">
        <v>2272</v>
      </c>
      <c r="J140" t="s">
        <v>2195</v>
      </c>
      <c r="K140" t="s">
        <v>74</v>
      </c>
      <c r="L140" t="s">
        <v>74</v>
      </c>
      <c r="M140" t="s">
        <v>77</v>
      </c>
      <c r="N140" t="s">
        <v>153</v>
      </c>
      <c r="O140" t="s">
        <v>74</v>
      </c>
      <c r="P140" t="s">
        <v>74</v>
      </c>
      <c r="Q140" t="s">
        <v>74</v>
      </c>
      <c r="R140" t="s">
        <v>74</v>
      </c>
      <c r="S140" t="s">
        <v>74</v>
      </c>
      <c r="T140" t="s">
        <v>74</v>
      </c>
      <c r="U140" t="s">
        <v>2273</v>
      </c>
      <c r="V140" t="s">
        <v>2274</v>
      </c>
      <c r="W140" t="s">
        <v>2275</v>
      </c>
      <c r="X140" t="s">
        <v>2276</v>
      </c>
      <c r="Y140" t="s">
        <v>2277</v>
      </c>
      <c r="Z140" t="s">
        <v>2278</v>
      </c>
      <c r="AA140" t="s">
        <v>2279</v>
      </c>
      <c r="AB140" t="s">
        <v>2280</v>
      </c>
      <c r="AC140" t="s">
        <v>74</v>
      </c>
      <c r="AD140" t="s">
        <v>74</v>
      </c>
      <c r="AE140" t="s">
        <v>74</v>
      </c>
      <c r="AF140" t="s">
        <v>74</v>
      </c>
      <c r="AG140">
        <v>26</v>
      </c>
      <c r="AH140">
        <v>36</v>
      </c>
      <c r="AI140">
        <v>40</v>
      </c>
      <c r="AJ140">
        <v>0</v>
      </c>
      <c r="AK140">
        <v>34</v>
      </c>
      <c r="AL140" t="s">
        <v>453</v>
      </c>
      <c r="AM140" t="s">
        <v>454</v>
      </c>
      <c r="AN140" t="s">
        <v>455</v>
      </c>
      <c r="AO140" t="s">
        <v>2204</v>
      </c>
      <c r="AP140" t="s">
        <v>2205</v>
      </c>
      <c r="AQ140" t="s">
        <v>74</v>
      </c>
      <c r="AR140" t="s">
        <v>2206</v>
      </c>
      <c r="AS140" t="s">
        <v>2207</v>
      </c>
      <c r="AT140" t="s">
        <v>2208</v>
      </c>
      <c r="AU140">
        <v>2002</v>
      </c>
      <c r="AV140">
        <v>34</v>
      </c>
      <c r="AW140">
        <v>2</v>
      </c>
      <c r="AX140" t="s">
        <v>74</v>
      </c>
      <c r="AY140" t="s">
        <v>74</v>
      </c>
      <c r="AZ140" t="s">
        <v>74</v>
      </c>
      <c r="BA140" t="s">
        <v>74</v>
      </c>
      <c r="BB140">
        <v>185</v>
      </c>
      <c r="BC140">
        <v>190</v>
      </c>
      <c r="BD140" t="s">
        <v>74</v>
      </c>
      <c r="BE140" t="s">
        <v>2281</v>
      </c>
      <c r="BF140" t="str">
        <f>HYPERLINK("http://dx.doi.org/10.2307/1552470","http://dx.doi.org/10.2307/1552470")</f>
        <v>http://dx.doi.org/10.2307/1552470</v>
      </c>
      <c r="BG140" t="s">
        <v>74</v>
      </c>
      <c r="BH140" t="s">
        <v>74</v>
      </c>
      <c r="BI140">
        <v>6</v>
      </c>
      <c r="BJ140" t="s">
        <v>2210</v>
      </c>
      <c r="BK140" t="s">
        <v>170</v>
      </c>
      <c r="BL140" t="s">
        <v>2211</v>
      </c>
      <c r="BM140" t="s">
        <v>2212</v>
      </c>
      <c r="BN140" t="s">
        <v>74</v>
      </c>
      <c r="BO140" t="s">
        <v>173</v>
      </c>
      <c r="BP140" t="s">
        <v>74</v>
      </c>
      <c r="BQ140" t="s">
        <v>74</v>
      </c>
      <c r="BR140" t="s">
        <v>107</v>
      </c>
      <c r="BS140" t="s">
        <v>2282</v>
      </c>
      <c r="BT140" t="str">
        <f>HYPERLINK("https%3A%2F%2Fwww.webofscience.com%2Fwos%2Fwoscc%2Ffull-record%2FWOS:000176962800008","View Full Record in Web of Science")</f>
        <v>View Full Record in Web of Science</v>
      </c>
    </row>
    <row r="141" spans="1:72" x14ac:dyDescent="0.15">
      <c r="A141" t="s">
        <v>72</v>
      </c>
      <c r="B141" t="s">
        <v>2283</v>
      </c>
      <c r="C141" t="s">
        <v>74</v>
      </c>
      <c r="D141" t="s">
        <v>74</v>
      </c>
      <c r="E141" t="s">
        <v>74</v>
      </c>
      <c r="F141" t="s">
        <v>2283</v>
      </c>
      <c r="G141" t="s">
        <v>74</v>
      </c>
      <c r="H141" t="s">
        <v>74</v>
      </c>
      <c r="I141" t="s">
        <v>2284</v>
      </c>
      <c r="J141" t="s">
        <v>2195</v>
      </c>
      <c r="K141" t="s">
        <v>74</v>
      </c>
      <c r="L141" t="s">
        <v>74</v>
      </c>
      <c r="M141" t="s">
        <v>77</v>
      </c>
      <c r="N141" t="s">
        <v>153</v>
      </c>
      <c r="O141" t="s">
        <v>74</v>
      </c>
      <c r="P141" t="s">
        <v>74</v>
      </c>
      <c r="Q141" t="s">
        <v>74</v>
      </c>
      <c r="R141" t="s">
        <v>74</v>
      </c>
      <c r="S141" t="s">
        <v>74</v>
      </c>
      <c r="T141" t="s">
        <v>74</v>
      </c>
      <c r="U141" t="s">
        <v>2285</v>
      </c>
      <c r="V141" t="s">
        <v>2286</v>
      </c>
      <c r="W141" t="s">
        <v>2287</v>
      </c>
      <c r="X141" t="s">
        <v>2288</v>
      </c>
      <c r="Y141" t="s">
        <v>2289</v>
      </c>
      <c r="Z141" t="s">
        <v>74</v>
      </c>
      <c r="AA141" t="s">
        <v>74</v>
      </c>
      <c r="AB141" t="s">
        <v>74</v>
      </c>
      <c r="AC141" t="s">
        <v>74</v>
      </c>
      <c r="AD141" t="s">
        <v>74</v>
      </c>
      <c r="AE141" t="s">
        <v>74</v>
      </c>
      <c r="AF141" t="s">
        <v>74</v>
      </c>
      <c r="AG141">
        <v>49</v>
      </c>
      <c r="AH141">
        <v>32</v>
      </c>
      <c r="AI141">
        <v>35</v>
      </c>
      <c r="AJ141">
        <v>1</v>
      </c>
      <c r="AK141">
        <v>14</v>
      </c>
      <c r="AL141" t="s">
        <v>2202</v>
      </c>
      <c r="AM141" t="s">
        <v>1350</v>
      </c>
      <c r="AN141" t="s">
        <v>2203</v>
      </c>
      <c r="AO141" t="s">
        <v>2204</v>
      </c>
      <c r="AP141" t="s">
        <v>74</v>
      </c>
      <c r="AQ141" t="s">
        <v>74</v>
      </c>
      <c r="AR141" t="s">
        <v>2206</v>
      </c>
      <c r="AS141" t="s">
        <v>2207</v>
      </c>
      <c r="AT141" t="s">
        <v>2208</v>
      </c>
      <c r="AU141">
        <v>2002</v>
      </c>
      <c r="AV141">
        <v>34</v>
      </c>
      <c r="AW141">
        <v>2</v>
      </c>
      <c r="AX141" t="s">
        <v>74</v>
      </c>
      <c r="AY141" t="s">
        <v>74</v>
      </c>
      <c r="AZ141" t="s">
        <v>74</v>
      </c>
      <c r="BA141" t="s">
        <v>74</v>
      </c>
      <c r="BB141">
        <v>191</v>
      </c>
      <c r="BC141">
        <v>200</v>
      </c>
      <c r="BD141" t="s">
        <v>74</v>
      </c>
      <c r="BE141" t="s">
        <v>2290</v>
      </c>
      <c r="BF141" t="str">
        <f>HYPERLINK("http://dx.doi.org/10.2307/1552471","http://dx.doi.org/10.2307/1552471")</f>
        <v>http://dx.doi.org/10.2307/1552471</v>
      </c>
      <c r="BG141" t="s">
        <v>74</v>
      </c>
      <c r="BH141" t="s">
        <v>74</v>
      </c>
      <c r="BI141">
        <v>10</v>
      </c>
      <c r="BJ141" t="s">
        <v>2210</v>
      </c>
      <c r="BK141" t="s">
        <v>170</v>
      </c>
      <c r="BL141" t="s">
        <v>2211</v>
      </c>
      <c r="BM141" t="s">
        <v>2212</v>
      </c>
      <c r="BN141" t="s">
        <v>74</v>
      </c>
      <c r="BO141" t="s">
        <v>74</v>
      </c>
      <c r="BP141" t="s">
        <v>74</v>
      </c>
      <c r="BQ141" t="s">
        <v>74</v>
      </c>
      <c r="BR141" t="s">
        <v>107</v>
      </c>
      <c r="BS141" t="s">
        <v>2291</v>
      </c>
      <c r="BT141" t="str">
        <f>HYPERLINK("https%3A%2F%2Fwww.webofscience.com%2Fwos%2Fwoscc%2Ffull-record%2FWOS:000176962800009","View Full Record in Web of Science")</f>
        <v>View Full Record in Web of Science</v>
      </c>
    </row>
    <row r="142" spans="1:72" x14ac:dyDescent="0.15">
      <c r="A142" t="s">
        <v>72</v>
      </c>
      <c r="B142" t="s">
        <v>2292</v>
      </c>
      <c r="C142" t="s">
        <v>74</v>
      </c>
      <c r="D142" t="s">
        <v>74</v>
      </c>
      <c r="E142" t="s">
        <v>74</v>
      </c>
      <c r="F142" t="s">
        <v>2292</v>
      </c>
      <c r="G142" t="s">
        <v>74</v>
      </c>
      <c r="H142" t="s">
        <v>74</v>
      </c>
      <c r="I142" t="s">
        <v>2293</v>
      </c>
      <c r="J142" t="s">
        <v>2195</v>
      </c>
      <c r="K142" t="s">
        <v>74</v>
      </c>
      <c r="L142" t="s">
        <v>74</v>
      </c>
      <c r="M142" t="s">
        <v>77</v>
      </c>
      <c r="N142" t="s">
        <v>153</v>
      </c>
      <c r="O142" t="s">
        <v>74</v>
      </c>
      <c r="P142" t="s">
        <v>74</v>
      </c>
      <c r="Q142" t="s">
        <v>74</v>
      </c>
      <c r="R142" t="s">
        <v>74</v>
      </c>
      <c r="S142" t="s">
        <v>74</v>
      </c>
      <c r="T142" t="s">
        <v>74</v>
      </c>
      <c r="U142" t="s">
        <v>2294</v>
      </c>
      <c r="V142" t="s">
        <v>2295</v>
      </c>
      <c r="W142" t="s">
        <v>2296</v>
      </c>
      <c r="X142" t="s">
        <v>2297</v>
      </c>
      <c r="Y142" t="s">
        <v>2298</v>
      </c>
      <c r="Z142" t="s">
        <v>74</v>
      </c>
      <c r="AA142" t="s">
        <v>2299</v>
      </c>
      <c r="AB142" t="s">
        <v>2300</v>
      </c>
      <c r="AC142" t="s">
        <v>74</v>
      </c>
      <c r="AD142" t="s">
        <v>74</v>
      </c>
      <c r="AE142" t="s">
        <v>74</v>
      </c>
      <c r="AF142" t="s">
        <v>74</v>
      </c>
      <c r="AG142">
        <v>73</v>
      </c>
      <c r="AH142">
        <v>17</v>
      </c>
      <c r="AI142">
        <v>21</v>
      </c>
      <c r="AJ142">
        <v>1</v>
      </c>
      <c r="AK142">
        <v>30</v>
      </c>
      <c r="AL142" t="s">
        <v>2202</v>
      </c>
      <c r="AM142" t="s">
        <v>1350</v>
      </c>
      <c r="AN142" t="s">
        <v>2203</v>
      </c>
      <c r="AO142" t="s">
        <v>2204</v>
      </c>
      <c r="AP142" t="s">
        <v>74</v>
      </c>
      <c r="AQ142" t="s">
        <v>74</v>
      </c>
      <c r="AR142" t="s">
        <v>2206</v>
      </c>
      <c r="AS142" t="s">
        <v>2207</v>
      </c>
      <c r="AT142" t="s">
        <v>2208</v>
      </c>
      <c r="AU142">
        <v>2002</v>
      </c>
      <c r="AV142">
        <v>34</v>
      </c>
      <c r="AW142">
        <v>2</v>
      </c>
      <c r="AX142" t="s">
        <v>74</v>
      </c>
      <c r="AY142" t="s">
        <v>74</v>
      </c>
      <c r="AZ142" t="s">
        <v>74</v>
      </c>
      <c r="BA142" t="s">
        <v>74</v>
      </c>
      <c r="BB142">
        <v>201</v>
      </c>
      <c r="BC142">
        <v>210</v>
      </c>
      <c r="BD142" t="s">
        <v>74</v>
      </c>
      <c r="BE142" t="s">
        <v>2301</v>
      </c>
      <c r="BF142" t="str">
        <f>HYPERLINK("http://dx.doi.org/10.2307/1552472","http://dx.doi.org/10.2307/1552472")</f>
        <v>http://dx.doi.org/10.2307/1552472</v>
      </c>
      <c r="BG142" t="s">
        <v>74</v>
      </c>
      <c r="BH142" t="s">
        <v>74</v>
      </c>
      <c r="BI142">
        <v>10</v>
      </c>
      <c r="BJ142" t="s">
        <v>2210</v>
      </c>
      <c r="BK142" t="s">
        <v>170</v>
      </c>
      <c r="BL142" t="s">
        <v>2211</v>
      </c>
      <c r="BM142" t="s">
        <v>2212</v>
      </c>
      <c r="BN142" t="s">
        <v>74</v>
      </c>
      <c r="BO142" t="s">
        <v>74</v>
      </c>
      <c r="BP142" t="s">
        <v>74</v>
      </c>
      <c r="BQ142" t="s">
        <v>74</v>
      </c>
      <c r="BR142" t="s">
        <v>107</v>
      </c>
      <c r="BS142" t="s">
        <v>2302</v>
      </c>
      <c r="BT142" t="str">
        <f>HYPERLINK("https%3A%2F%2Fwww.webofscience.com%2Fwos%2Fwoscc%2Ffull-record%2FWOS:000176962800010","View Full Record in Web of Science")</f>
        <v>View Full Record in Web of Science</v>
      </c>
    </row>
    <row r="143" spans="1:72" x14ac:dyDescent="0.15">
      <c r="A143" t="s">
        <v>72</v>
      </c>
      <c r="B143" t="s">
        <v>2303</v>
      </c>
      <c r="C143" t="s">
        <v>74</v>
      </c>
      <c r="D143" t="s">
        <v>74</v>
      </c>
      <c r="E143" t="s">
        <v>74</v>
      </c>
      <c r="F143" t="s">
        <v>2303</v>
      </c>
      <c r="G143" t="s">
        <v>74</v>
      </c>
      <c r="H143" t="s">
        <v>74</v>
      </c>
      <c r="I143" t="s">
        <v>2304</v>
      </c>
      <c r="J143" t="s">
        <v>2195</v>
      </c>
      <c r="K143" t="s">
        <v>74</v>
      </c>
      <c r="L143" t="s">
        <v>74</v>
      </c>
      <c r="M143" t="s">
        <v>77</v>
      </c>
      <c r="N143" t="s">
        <v>153</v>
      </c>
      <c r="O143" t="s">
        <v>74</v>
      </c>
      <c r="P143" t="s">
        <v>74</v>
      </c>
      <c r="Q143" t="s">
        <v>74</v>
      </c>
      <c r="R143" t="s">
        <v>74</v>
      </c>
      <c r="S143" t="s">
        <v>74</v>
      </c>
      <c r="T143" t="s">
        <v>74</v>
      </c>
      <c r="U143" t="s">
        <v>2305</v>
      </c>
      <c r="V143" t="s">
        <v>2306</v>
      </c>
      <c r="W143" t="s">
        <v>2307</v>
      </c>
      <c r="X143" t="s">
        <v>2308</v>
      </c>
      <c r="Y143" t="s">
        <v>2309</v>
      </c>
      <c r="Z143" t="s">
        <v>74</v>
      </c>
      <c r="AA143" t="s">
        <v>2310</v>
      </c>
      <c r="AB143" t="s">
        <v>2311</v>
      </c>
      <c r="AC143" t="s">
        <v>74</v>
      </c>
      <c r="AD143" t="s">
        <v>74</v>
      </c>
      <c r="AE143" t="s">
        <v>74</v>
      </c>
      <c r="AF143" t="s">
        <v>74</v>
      </c>
      <c r="AG143">
        <v>25</v>
      </c>
      <c r="AH143">
        <v>69</v>
      </c>
      <c r="AI143">
        <v>81</v>
      </c>
      <c r="AJ143">
        <v>0</v>
      </c>
      <c r="AK143">
        <v>47</v>
      </c>
      <c r="AL143" t="s">
        <v>2202</v>
      </c>
      <c r="AM143" t="s">
        <v>1350</v>
      </c>
      <c r="AN143" t="s">
        <v>2203</v>
      </c>
      <c r="AO143" t="s">
        <v>2204</v>
      </c>
      <c r="AP143" t="s">
        <v>74</v>
      </c>
      <c r="AQ143" t="s">
        <v>74</v>
      </c>
      <c r="AR143" t="s">
        <v>2206</v>
      </c>
      <c r="AS143" t="s">
        <v>2207</v>
      </c>
      <c r="AT143" t="s">
        <v>2208</v>
      </c>
      <c r="AU143">
        <v>2002</v>
      </c>
      <c r="AV143">
        <v>34</v>
      </c>
      <c r="AW143">
        <v>2</v>
      </c>
      <c r="AX143" t="s">
        <v>74</v>
      </c>
      <c r="AY143" t="s">
        <v>74</v>
      </c>
      <c r="AZ143" t="s">
        <v>74</v>
      </c>
      <c r="BA143" t="s">
        <v>74</v>
      </c>
      <c r="BB143">
        <v>211</v>
      </c>
      <c r="BC143">
        <v>218</v>
      </c>
      <c r="BD143" t="s">
        <v>74</v>
      </c>
      <c r="BE143" t="s">
        <v>2312</v>
      </c>
      <c r="BF143" t="str">
        <f>HYPERLINK("http://dx.doi.org/10.2307/1552473","http://dx.doi.org/10.2307/1552473")</f>
        <v>http://dx.doi.org/10.2307/1552473</v>
      </c>
      <c r="BG143" t="s">
        <v>74</v>
      </c>
      <c r="BH143" t="s">
        <v>74</v>
      </c>
      <c r="BI143">
        <v>8</v>
      </c>
      <c r="BJ143" t="s">
        <v>2210</v>
      </c>
      <c r="BK143" t="s">
        <v>170</v>
      </c>
      <c r="BL143" t="s">
        <v>2211</v>
      </c>
      <c r="BM143" t="s">
        <v>2212</v>
      </c>
      <c r="BN143" t="s">
        <v>74</v>
      </c>
      <c r="BO143" t="s">
        <v>173</v>
      </c>
      <c r="BP143" t="s">
        <v>74</v>
      </c>
      <c r="BQ143" t="s">
        <v>74</v>
      </c>
      <c r="BR143" t="s">
        <v>107</v>
      </c>
      <c r="BS143" t="s">
        <v>2313</v>
      </c>
      <c r="BT143" t="str">
        <f>HYPERLINK("https%3A%2F%2Fwww.webofscience.com%2Fwos%2Fwoscc%2Ffull-record%2FWOS:000176962800011","View Full Record in Web of Science")</f>
        <v>View Full Record in Web of Science</v>
      </c>
    </row>
    <row r="144" spans="1:72" x14ac:dyDescent="0.15">
      <c r="A144" t="s">
        <v>72</v>
      </c>
      <c r="B144" t="s">
        <v>2314</v>
      </c>
      <c r="C144" t="s">
        <v>74</v>
      </c>
      <c r="D144" t="s">
        <v>74</v>
      </c>
      <c r="E144" t="s">
        <v>74</v>
      </c>
      <c r="F144" t="s">
        <v>2314</v>
      </c>
      <c r="G144" t="s">
        <v>74</v>
      </c>
      <c r="H144" t="s">
        <v>74</v>
      </c>
      <c r="I144" t="s">
        <v>2315</v>
      </c>
      <c r="J144" t="s">
        <v>2195</v>
      </c>
      <c r="K144" t="s">
        <v>74</v>
      </c>
      <c r="L144" t="s">
        <v>74</v>
      </c>
      <c r="M144" t="s">
        <v>77</v>
      </c>
      <c r="N144" t="s">
        <v>153</v>
      </c>
      <c r="O144" t="s">
        <v>74</v>
      </c>
      <c r="P144" t="s">
        <v>74</v>
      </c>
      <c r="Q144" t="s">
        <v>74</v>
      </c>
      <c r="R144" t="s">
        <v>74</v>
      </c>
      <c r="S144" t="s">
        <v>74</v>
      </c>
      <c r="T144" t="s">
        <v>74</v>
      </c>
      <c r="U144" t="s">
        <v>2316</v>
      </c>
      <c r="V144" t="s">
        <v>2317</v>
      </c>
      <c r="W144" t="s">
        <v>2318</v>
      </c>
      <c r="X144" t="s">
        <v>2319</v>
      </c>
      <c r="Y144" t="s">
        <v>2320</v>
      </c>
      <c r="Z144" t="s">
        <v>2321</v>
      </c>
      <c r="AA144" t="s">
        <v>74</v>
      </c>
      <c r="AB144" t="s">
        <v>2322</v>
      </c>
      <c r="AC144" t="s">
        <v>74</v>
      </c>
      <c r="AD144" t="s">
        <v>74</v>
      </c>
      <c r="AE144" t="s">
        <v>74</v>
      </c>
      <c r="AF144" t="s">
        <v>74</v>
      </c>
      <c r="AG144">
        <v>53</v>
      </c>
      <c r="AH144">
        <v>17</v>
      </c>
      <c r="AI144">
        <v>18</v>
      </c>
      <c r="AJ144">
        <v>1</v>
      </c>
      <c r="AK144">
        <v>27</v>
      </c>
      <c r="AL144" t="s">
        <v>453</v>
      </c>
      <c r="AM144" t="s">
        <v>454</v>
      </c>
      <c r="AN144" t="s">
        <v>455</v>
      </c>
      <c r="AO144" t="s">
        <v>2204</v>
      </c>
      <c r="AP144" t="s">
        <v>2205</v>
      </c>
      <c r="AQ144" t="s">
        <v>74</v>
      </c>
      <c r="AR144" t="s">
        <v>2206</v>
      </c>
      <c r="AS144" t="s">
        <v>2207</v>
      </c>
      <c r="AT144" t="s">
        <v>2208</v>
      </c>
      <c r="AU144">
        <v>2002</v>
      </c>
      <c r="AV144">
        <v>34</v>
      </c>
      <c r="AW144">
        <v>2</v>
      </c>
      <c r="AX144" t="s">
        <v>74</v>
      </c>
      <c r="AY144" t="s">
        <v>74</v>
      </c>
      <c r="AZ144" t="s">
        <v>74</v>
      </c>
      <c r="BA144" t="s">
        <v>74</v>
      </c>
      <c r="BB144">
        <v>219</v>
      </c>
      <c r="BC144">
        <v>225</v>
      </c>
      <c r="BD144" t="s">
        <v>74</v>
      </c>
      <c r="BE144" t="s">
        <v>2323</v>
      </c>
      <c r="BF144" t="str">
        <f>HYPERLINK("http://dx.doi.org/10.2307/1552474","http://dx.doi.org/10.2307/1552474")</f>
        <v>http://dx.doi.org/10.2307/1552474</v>
      </c>
      <c r="BG144" t="s">
        <v>74</v>
      </c>
      <c r="BH144" t="s">
        <v>74</v>
      </c>
      <c r="BI144">
        <v>7</v>
      </c>
      <c r="BJ144" t="s">
        <v>2210</v>
      </c>
      <c r="BK144" t="s">
        <v>170</v>
      </c>
      <c r="BL144" t="s">
        <v>2211</v>
      </c>
      <c r="BM144" t="s">
        <v>2212</v>
      </c>
      <c r="BN144" t="s">
        <v>74</v>
      </c>
      <c r="BO144" t="s">
        <v>173</v>
      </c>
      <c r="BP144" t="s">
        <v>74</v>
      </c>
      <c r="BQ144" t="s">
        <v>74</v>
      </c>
      <c r="BR144" t="s">
        <v>107</v>
      </c>
      <c r="BS144" t="s">
        <v>2324</v>
      </c>
      <c r="BT144" t="str">
        <f>HYPERLINK("https%3A%2F%2Fwww.webofscience.com%2Fwos%2Fwoscc%2Ffull-record%2FWOS:000176962800012","View Full Record in Web of Science")</f>
        <v>View Full Record in Web of Science</v>
      </c>
    </row>
    <row r="145" spans="1:72" x14ac:dyDescent="0.15">
      <c r="A145" t="s">
        <v>72</v>
      </c>
      <c r="B145" t="s">
        <v>2325</v>
      </c>
      <c r="C145" t="s">
        <v>74</v>
      </c>
      <c r="D145" t="s">
        <v>74</v>
      </c>
      <c r="E145" t="s">
        <v>74</v>
      </c>
      <c r="F145" t="s">
        <v>2325</v>
      </c>
      <c r="G145" t="s">
        <v>74</v>
      </c>
      <c r="H145" t="s">
        <v>74</v>
      </c>
      <c r="I145" t="s">
        <v>2326</v>
      </c>
      <c r="J145" t="s">
        <v>2195</v>
      </c>
      <c r="K145" t="s">
        <v>74</v>
      </c>
      <c r="L145" t="s">
        <v>74</v>
      </c>
      <c r="M145" t="s">
        <v>77</v>
      </c>
      <c r="N145" t="s">
        <v>2327</v>
      </c>
      <c r="O145" t="s">
        <v>74</v>
      </c>
      <c r="P145" t="s">
        <v>74</v>
      </c>
      <c r="Q145" t="s">
        <v>74</v>
      </c>
      <c r="R145" t="s">
        <v>74</v>
      </c>
      <c r="S145" t="s">
        <v>74</v>
      </c>
      <c r="T145" t="s">
        <v>74</v>
      </c>
      <c r="U145" t="s">
        <v>74</v>
      </c>
      <c r="V145" t="s">
        <v>74</v>
      </c>
      <c r="W145" t="s">
        <v>2328</v>
      </c>
      <c r="X145" t="s">
        <v>2329</v>
      </c>
      <c r="Y145" t="s">
        <v>2330</v>
      </c>
      <c r="Z145" t="s">
        <v>74</v>
      </c>
      <c r="AA145" t="s">
        <v>74</v>
      </c>
      <c r="AB145" t="s">
        <v>2331</v>
      </c>
      <c r="AC145" t="s">
        <v>74</v>
      </c>
      <c r="AD145" t="s">
        <v>74</v>
      </c>
      <c r="AE145" t="s">
        <v>74</v>
      </c>
      <c r="AF145" t="s">
        <v>74</v>
      </c>
      <c r="AG145">
        <v>4</v>
      </c>
      <c r="AH145">
        <v>4</v>
      </c>
      <c r="AI145">
        <v>4</v>
      </c>
      <c r="AJ145">
        <v>0</v>
      </c>
      <c r="AK145">
        <v>6</v>
      </c>
      <c r="AL145" t="s">
        <v>2202</v>
      </c>
      <c r="AM145" t="s">
        <v>1350</v>
      </c>
      <c r="AN145" t="s">
        <v>2203</v>
      </c>
      <c r="AO145" t="s">
        <v>2204</v>
      </c>
      <c r="AP145" t="s">
        <v>74</v>
      </c>
      <c r="AQ145" t="s">
        <v>74</v>
      </c>
      <c r="AR145" t="s">
        <v>2206</v>
      </c>
      <c r="AS145" t="s">
        <v>2207</v>
      </c>
      <c r="AT145" t="s">
        <v>2208</v>
      </c>
      <c r="AU145">
        <v>2002</v>
      </c>
      <c r="AV145">
        <v>34</v>
      </c>
      <c r="AW145">
        <v>2</v>
      </c>
      <c r="AX145" t="s">
        <v>74</v>
      </c>
      <c r="AY145" t="s">
        <v>74</v>
      </c>
      <c r="AZ145" t="s">
        <v>74</v>
      </c>
      <c r="BA145" t="s">
        <v>74</v>
      </c>
      <c r="BB145">
        <v>226</v>
      </c>
      <c r="BC145">
        <v>226</v>
      </c>
      <c r="BD145" t="s">
        <v>74</v>
      </c>
      <c r="BE145" t="s">
        <v>2332</v>
      </c>
      <c r="BF145" t="str">
        <f>HYPERLINK("http://dx.doi.org/10.2307/1552475","http://dx.doi.org/10.2307/1552475")</f>
        <v>http://dx.doi.org/10.2307/1552475</v>
      </c>
      <c r="BG145" t="s">
        <v>74</v>
      </c>
      <c r="BH145" t="s">
        <v>74</v>
      </c>
      <c r="BI145">
        <v>1</v>
      </c>
      <c r="BJ145" t="s">
        <v>2210</v>
      </c>
      <c r="BK145" t="s">
        <v>170</v>
      </c>
      <c r="BL145" t="s">
        <v>2211</v>
      </c>
      <c r="BM145" t="s">
        <v>2212</v>
      </c>
      <c r="BN145" t="s">
        <v>74</v>
      </c>
      <c r="BO145" t="s">
        <v>173</v>
      </c>
      <c r="BP145" t="s">
        <v>74</v>
      </c>
      <c r="BQ145" t="s">
        <v>74</v>
      </c>
      <c r="BR145" t="s">
        <v>107</v>
      </c>
      <c r="BS145" t="s">
        <v>2333</v>
      </c>
      <c r="BT145" t="str">
        <f>HYPERLINK("https%3A%2F%2Fwww.webofscience.com%2Fwos%2Fwoscc%2Ffull-record%2FWOS:000176962800013","View Full Record in Web of Science")</f>
        <v>View Full Record in Web of Science</v>
      </c>
    </row>
    <row r="146" spans="1:72" x14ac:dyDescent="0.15">
      <c r="A146" t="s">
        <v>72</v>
      </c>
      <c r="B146" t="s">
        <v>2334</v>
      </c>
      <c r="C146" t="s">
        <v>74</v>
      </c>
      <c r="D146" t="s">
        <v>74</v>
      </c>
      <c r="E146" t="s">
        <v>74</v>
      </c>
      <c r="F146" t="s">
        <v>2334</v>
      </c>
      <c r="G146" t="s">
        <v>74</v>
      </c>
      <c r="H146" t="s">
        <v>74</v>
      </c>
      <c r="I146" t="s">
        <v>2335</v>
      </c>
      <c r="J146" t="s">
        <v>2195</v>
      </c>
      <c r="K146" t="s">
        <v>74</v>
      </c>
      <c r="L146" t="s">
        <v>74</v>
      </c>
      <c r="M146" t="s">
        <v>77</v>
      </c>
      <c r="N146" t="s">
        <v>2327</v>
      </c>
      <c r="O146" t="s">
        <v>74</v>
      </c>
      <c r="P146" t="s">
        <v>74</v>
      </c>
      <c r="Q146" t="s">
        <v>74</v>
      </c>
      <c r="R146" t="s">
        <v>74</v>
      </c>
      <c r="S146" t="s">
        <v>74</v>
      </c>
      <c r="T146" t="s">
        <v>74</v>
      </c>
      <c r="U146" t="s">
        <v>2336</v>
      </c>
      <c r="V146" t="s">
        <v>74</v>
      </c>
      <c r="W146" t="s">
        <v>2337</v>
      </c>
      <c r="X146" t="s">
        <v>2338</v>
      </c>
      <c r="Y146" t="s">
        <v>2339</v>
      </c>
      <c r="Z146" t="s">
        <v>74</v>
      </c>
      <c r="AA146" t="s">
        <v>74</v>
      </c>
      <c r="AB146" t="s">
        <v>74</v>
      </c>
      <c r="AC146" t="s">
        <v>74</v>
      </c>
      <c r="AD146" t="s">
        <v>74</v>
      </c>
      <c r="AE146" t="s">
        <v>74</v>
      </c>
      <c r="AF146" t="s">
        <v>74</v>
      </c>
      <c r="AG146">
        <v>9</v>
      </c>
      <c r="AH146">
        <v>4</v>
      </c>
      <c r="AI146">
        <v>4</v>
      </c>
      <c r="AJ146">
        <v>1</v>
      </c>
      <c r="AK146">
        <v>10</v>
      </c>
      <c r="AL146" t="s">
        <v>2202</v>
      </c>
      <c r="AM146" t="s">
        <v>1350</v>
      </c>
      <c r="AN146" t="s">
        <v>2203</v>
      </c>
      <c r="AO146" t="s">
        <v>2204</v>
      </c>
      <c r="AP146" t="s">
        <v>74</v>
      </c>
      <c r="AQ146" t="s">
        <v>74</v>
      </c>
      <c r="AR146" t="s">
        <v>2206</v>
      </c>
      <c r="AS146" t="s">
        <v>2207</v>
      </c>
      <c r="AT146" t="s">
        <v>2208</v>
      </c>
      <c r="AU146">
        <v>2002</v>
      </c>
      <c r="AV146">
        <v>34</v>
      </c>
      <c r="AW146">
        <v>2</v>
      </c>
      <c r="AX146" t="s">
        <v>74</v>
      </c>
      <c r="AY146" t="s">
        <v>74</v>
      </c>
      <c r="AZ146" t="s">
        <v>74</v>
      </c>
      <c r="BA146" t="s">
        <v>74</v>
      </c>
      <c r="BB146">
        <v>226</v>
      </c>
      <c r="BC146">
        <v>229</v>
      </c>
      <c r="BD146" t="s">
        <v>74</v>
      </c>
      <c r="BE146" t="s">
        <v>74</v>
      </c>
      <c r="BF146" t="s">
        <v>74</v>
      </c>
      <c r="BG146" t="s">
        <v>74</v>
      </c>
      <c r="BH146" t="s">
        <v>74</v>
      </c>
      <c r="BI146">
        <v>4</v>
      </c>
      <c r="BJ146" t="s">
        <v>2210</v>
      </c>
      <c r="BK146" t="s">
        <v>170</v>
      </c>
      <c r="BL146" t="s">
        <v>2211</v>
      </c>
      <c r="BM146" t="s">
        <v>2212</v>
      </c>
      <c r="BN146" t="s">
        <v>74</v>
      </c>
      <c r="BO146" t="s">
        <v>74</v>
      </c>
      <c r="BP146" t="s">
        <v>74</v>
      </c>
      <c r="BQ146" t="s">
        <v>74</v>
      </c>
      <c r="BR146" t="s">
        <v>107</v>
      </c>
      <c r="BS146" t="s">
        <v>2340</v>
      </c>
      <c r="BT146" t="str">
        <f>HYPERLINK("https%3A%2F%2Fwww.webofscience.com%2Fwos%2Fwoscc%2Ffull-record%2FWOS:000176962800014","View Full Record in Web of Science")</f>
        <v>View Full Record in Web of Science</v>
      </c>
    </row>
    <row r="147" spans="1:72" x14ac:dyDescent="0.15">
      <c r="A147" t="s">
        <v>72</v>
      </c>
      <c r="B147" t="s">
        <v>2341</v>
      </c>
      <c r="C147" t="s">
        <v>74</v>
      </c>
      <c r="D147" t="s">
        <v>74</v>
      </c>
      <c r="E147" t="s">
        <v>74</v>
      </c>
      <c r="F147" t="s">
        <v>2341</v>
      </c>
      <c r="G147" t="s">
        <v>74</v>
      </c>
      <c r="H147" t="s">
        <v>74</v>
      </c>
      <c r="I147" t="s">
        <v>2342</v>
      </c>
      <c r="J147" t="s">
        <v>2343</v>
      </c>
      <c r="K147" t="s">
        <v>74</v>
      </c>
      <c r="L147" t="s">
        <v>74</v>
      </c>
      <c r="M147" t="s">
        <v>77</v>
      </c>
      <c r="N147" t="s">
        <v>153</v>
      </c>
      <c r="O147" t="s">
        <v>74</v>
      </c>
      <c r="P147" t="s">
        <v>74</v>
      </c>
      <c r="Q147" t="s">
        <v>74</v>
      </c>
      <c r="R147" t="s">
        <v>74</v>
      </c>
      <c r="S147" t="s">
        <v>74</v>
      </c>
      <c r="T147" t="s">
        <v>2344</v>
      </c>
      <c r="U147" t="s">
        <v>2345</v>
      </c>
      <c r="V147" t="s">
        <v>2346</v>
      </c>
      <c r="W147" t="s">
        <v>2347</v>
      </c>
      <c r="X147" t="s">
        <v>2348</v>
      </c>
      <c r="Y147" t="s">
        <v>2349</v>
      </c>
      <c r="Z147" t="s">
        <v>74</v>
      </c>
      <c r="AA147" t="s">
        <v>74</v>
      </c>
      <c r="AB147" t="s">
        <v>2350</v>
      </c>
      <c r="AC147" t="s">
        <v>74</v>
      </c>
      <c r="AD147" t="s">
        <v>74</v>
      </c>
      <c r="AE147" t="s">
        <v>74</v>
      </c>
      <c r="AF147" t="s">
        <v>74</v>
      </c>
      <c r="AG147">
        <v>27</v>
      </c>
      <c r="AH147">
        <v>18</v>
      </c>
      <c r="AI147">
        <v>18</v>
      </c>
      <c r="AJ147">
        <v>1</v>
      </c>
      <c r="AK147">
        <v>1</v>
      </c>
      <c r="AL147" t="s">
        <v>1013</v>
      </c>
      <c r="AM147" t="s">
        <v>895</v>
      </c>
      <c r="AN147" t="s">
        <v>1014</v>
      </c>
      <c r="AO147" t="s">
        <v>2351</v>
      </c>
      <c r="AP147" t="s">
        <v>74</v>
      </c>
      <c r="AQ147" t="s">
        <v>74</v>
      </c>
      <c r="AR147" t="s">
        <v>2352</v>
      </c>
      <c r="AS147" t="s">
        <v>2353</v>
      </c>
      <c r="AT147" t="s">
        <v>2354</v>
      </c>
      <c r="AU147">
        <v>2002</v>
      </c>
      <c r="AV147">
        <v>36</v>
      </c>
      <c r="AW147" t="s">
        <v>2355</v>
      </c>
      <c r="AX147" t="s">
        <v>74</v>
      </c>
      <c r="AY147" t="s">
        <v>74</v>
      </c>
      <c r="AZ147" t="s">
        <v>74</v>
      </c>
      <c r="BA147" t="s">
        <v>74</v>
      </c>
      <c r="BB147">
        <v>2545</v>
      </c>
      <c r="BC147">
        <v>2551</v>
      </c>
      <c r="BD147" t="s">
        <v>2356</v>
      </c>
      <c r="BE147" t="s">
        <v>2357</v>
      </c>
      <c r="BF147" t="str">
        <f>HYPERLINK("http://dx.doi.org/10.1016/S1352-2310(02)00133-4","http://dx.doi.org/10.1016/S1352-2310(02)00133-4")</f>
        <v>http://dx.doi.org/10.1016/S1352-2310(02)00133-4</v>
      </c>
      <c r="BG147" t="s">
        <v>74</v>
      </c>
      <c r="BH147" t="s">
        <v>74</v>
      </c>
      <c r="BI147">
        <v>7</v>
      </c>
      <c r="BJ147" t="s">
        <v>2358</v>
      </c>
      <c r="BK147" t="s">
        <v>170</v>
      </c>
      <c r="BL147" t="s">
        <v>2359</v>
      </c>
      <c r="BM147" t="s">
        <v>2360</v>
      </c>
      <c r="BN147" t="s">
        <v>74</v>
      </c>
      <c r="BO147" t="s">
        <v>74</v>
      </c>
      <c r="BP147" t="s">
        <v>74</v>
      </c>
      <c r="BQ147" t="s">
        <v>74</v>
      </c>
      <c r="BR147" t="s">
        <v>107</v>
      </c>
      <c r="BS147" t="s">
        <v>2361</v>
      </c>
      <c r="BT147" t="str">
        <f>HYPERLINK("https%3A%2F%2Fwww.webofscience.com%2Fwos%2Fwoscc%2Ffull-record%2FWOS:000176614200009","View Full Record in Web of Science")</f>
        <v>View Full Record in Web of Science</v>
      </c>
    </row>
    <row r="148" spans="1:72" x14ac:dyDescent="0.15">
      <c r="A148" t="s">
        <v>72</v>
      </c>
      <c r="B148" t="s">
        <v>2362</v>
      </c>
      <c r="C148" t="s">
        <v>74</v>
      </c>
      <c r="D148" t="s">
        <v>74</v>
      </c>
      <c r="E148" t="s">
        <v>74</v>
      </c>
      <c r="F148" t="s">
        <v>2362</v>
      </c>
      <c r="G148" t="s">
        <v>74</v>
      </c>
      <c r="H148" t="s">
        <v>74</v>
      </c>
      <c r="I148" t="s">
        <v>2363</v>
      </c>
      <c r="J148" t="s">
        <v>2364</v>
      </c>
      <c r="K148" t="s">
        <v>74</v>
      </c>
      <c r="L148" t="s">
        <v>74</v>
      </c>
      <c r="M148" t="s">
        <v>77</v>
      </c>
      <c r="N148" t="s">
        <v>153</v>
      </c>
      <c r="O148" t="s">
        <v>74</v>
      </c>
      <c r="P148" t="s">
        <v>74</v>
      </c>
      <c r="Q148" t="s">
        <v>74</v>
      </c>
      <c r="R148" t="s">
        <v>74</v>
      </c>
      <c r="S148" t="s">
        <v>74</v>
      </c>
      <c r="T148" t="s">
        <v>74</v>
      </c>
      <c r="U148" t="s">
        <v>2365</v>
      </c>
      <c r="V148" t="s">
        <v>2366</v>
      </c>
      <c r="W148" t="s">
        <v>2367</v>
      </c>
      <c r="X148" t="s">
        <v>2368</v>
      </c>
      <c r="Y148" t="s">
        <v>2369</v>
      </c>
      <c r="Z148" t="s">
        <v>2370</v>
      </c>
      <c r="AA148" t="s">
        <v>2371</v>
      </c>
      <c r="AB148" t="s">
        <v>74</v>
      </c>
      <c r="AC148" t="s">
        <v>74</v>
      </c>
      <c r="AD148" t="s">
        <v>74</v>
      </c>
      <c r="AE148" t="s">
        <v>74</v>
      </c>
      <c r="AF148" t="s">
        <v>74</v>
      </c>
      <c r="AG148">
        <v>79</v>
      </c>
      <c r="AH148">
        <v>43</v>
      </c>
      <c r="AI148">
        <v>48</v>
      </c>
      <c r="AJ148">
        <v>0</v>
      </c>
      <c r="AK148">
        <v>12</v>
      </c>
      <c r="AL148" t="s">
        <v>2372</v>
      </c>
      <c r="AM148" t="s">
        <v>2373</v>
      </c>
      <c r="AN148" t="s">
        <v>2374</v>
      </c>
      <c r="AO148" t="s">
        <v>2375</v>
      </c>
      <c r="AP148" t="s">
        <v>2376</v>
      </c>
      <c r="AQ148" t="s">
        <v>74</v>
      </c>
      <c r="AR148" t="s">
        <v>2377</v>
      </c>
      <c r="AS148" t="s">
        <v>2378</v>
      </c>
      <c r="AT148" t="s">
        <v>2208</v>
      </c>
      <c r="AU148">
        <v>2002</v>
      </c>
      <c r="AV148">
        <v>45</v>
      </c>
      <c r="AW148">
        <v>3</v>
      </c>
      <c r="AX148" t="s">
        <v>74</v>
      </c>
      <c r="AY148" t="s">
        <v>74</v>
      </c>
      <c r="AZ148" t="s">
        <v>74</v>
      </c>
      <c r="BA148" t="s">
        <v>74</v>
      </c>
      <c r="BB148">
        <v>253</v>
      </c>
      <c r="BC148">
        <v>261</v>
      </c>
      <c r="BD148" t="s">
        <v>74</v>
      </c>
      <c r="BE148" t="s">
        <v>2379</v>
      </c>
      <c r="BF148" t="str">
        <f>HYPERLINK("http://dx.doi.org/10.1515/BOT.2002.024","http://dx.doi.org/10.1515/BOT.2002.024")</f>
        <v>http://dx.doi.org/10.1515/BOT.2002.024</v>
      </c>
      <c r="BG148" t="s">
        <v>74</v>
      </c>
      <c r="BH148" t="s">
        <v>74</v>
      </c>
      <c r="BI148">
        <v>9</v>
      </c>
      <c r="BJ148" t="s">
        <v>2380</v>
      </c>
      <c r="BK148" t="s">
        <v>170</v>
      </c>
      <c r="BL148" t="s">
        <v>2380</v>
      </c>
      <c r="BM148" t="s">
        <v>2381</v>
      </c>
      <c r="BN148" t="s">
        <v>74</v>
      </c>
      <c r="BO148" t="s">
        <v>74</v>
      </c>
      <c r="BP148" t="s">
        <v>74</v>
      </c>
      <c r="BQ148" t="s">
        <v>74</v>
      </c>
      <c r="BR148" t="s">
        <v>107</v>
      </c>
      <c r="BS148" t="s">
        <v>2382</v>
      </c>
      <c r="BT148" t="str">
        <f>HYPERLINK("https%3A%2F%2Fwww.webofscience.com%2Fwos%2Fwoscc%2Ffull-record%2FWOS:000175954700005","View Full Record in Web of Science")</f>
        <v>View Full Record in Web of Science</v>
      </c>
    </row>
    <row r="149" spans="1:72" x14ac:dyDescent="0.15">
      <c r="A149" t="s">
        <v>72</v>
      </c>
      <c r="B149" t="s">
        <v>2383</v>
      </c>
      <c r="C149" t="s">
        <v>74</v>
      </c>
      <c r="D149" t="s">
        <v>74</v>
      </c>
      <c r="E149" t="s">
        <v>74</v>
      </c>
      <c r="F149" t="s">
        <v>2383</v>
      </c>
      <c r="G149" t="s">
        <v>74</v>
      </c>
      <c r="H149" t="s">
        <v>74</v>
      </c>
      <c r="I149" t="s">
        <v>2384</v>
      </c>
      <c r="J149" t="s">
        <v>2385</v>
      </c>
      <c r="K149" t="s">
        <v>74</v>
      </c>
      <c r="L149" t="s">
        <v>74</v>
      </c>
      <c r="M149" t="s">
        <v>77</v>
      </c>
      <c r="N149" t="s">
        <v>153</v>
      </c>
      <c r="O149" t="s">
        <v>74</v>
      </c>
      <c r="P149" t="s">
        <v>74</v>
      </c>
      <c r="Q149" t="s">
        <v>74</v>
      </c>
      <c r="R149" t="s">
        <v>74</v>
      </c>
      <c r="S149" t="s">
        <v>74</v>
      </c>
      <c r="T149" t="s">
        <v>2386</v>
      </c>
      <c r="U149" t="s">
        <v>2387</v>
      </c>
      <c r="V149" t="s">
        <v>2388</v>
      </c>
      <c r="W149" t="s">
        <v>2389</v>
      </c>
      <c r="X149" t="s">
        <v>2390</v>
      </c>
      <c r="Y149" t="s">
        <v>2391</v>
      </c>
      <c r="Z149" t="s">
        <v>74</v>
      </c>
      <c r="AA149" t="s">
        <v>74</v>
      </c>
      <c r="AB149" t="s">
        <v>74</v>
      </c>
      <c r="AC149" t="s">
        <v>74</v>
      </c>
      <c r="AD149" t="s">
        <v>74</v>
      </c>
      <c r="AE149" t="s">
        <v>74</v>
      </c>
      <c r="AF149" t="s">
        <v>74</v>
      </c>
      <c r="AG149">
        <v>49</v>
      </c>
      <c r="AH149">
        <v>14</v>
      </c>
      <c r="AI149">
        <v>17</v>
      </c>
      <c r="AJ149">
        <v>0</v>
      </c>
      <c r="AK149">
        <v>8</v>
      </c>
      <c r="AL149" t="s">
        <v>994</v>
      </c>
      <c r="AM149" t="s">
        <v>995</v>
      </c>
      <c r="AN149" t="s">
        <v>996</v>
      </c>
      <c r="AO149" t="s">
        <v>2392</v>
      </c>
      <c r="AP149" t="s">
        <v>74</v>
      </c>
      <c r="AQ149" t="s">
        <v>74</v>
      </c>
      <c r="AR149" t="s">
        <v>2393</v>
      </c>
      <c r="AS149" t="s">
        <v>2394</v>
      </c>
      <c r="AT149" t="s">
        <v>2208</v>
      </c>
      <c r="AU149">
        <v>2002</v>
      </c>
      <c r="AV149">
        <v>80</v>
      </c>
      <c r="AW149">
        <v>5</v>
      </c>
      <c r="AX149" t="s">
        <v>74</v>
      </c>
      <c r="AY149" t="s">
        <v>74</v>
      </c>
      <c r="AZ149" t="s">
        <v>74</v>
      </c>
      <c r="BA149" t="s">
        <v>74</v>
      </c>
      <c r="BB149">
        <v>533</v>
      </c>
      <c r="BC149">
        <v>542</v>
      </c>
      <c r="BD149" t="s">
        <v>74</v>
      </c>
      <c r="BE149" t="s">
        <v>2395</v>
      </c>
      <c r="BF149" t="str">
        <f>HYPERLINK("http://dx.doi.org/10.1139/B02-053","http://dx.doi.org/10.1139/B02-053")</f>
        <v>http://dx.doi.org/10.1139/B02-053</v>
      </c>
      <c r="BG149" t="s">
        <v>74</v>
      </c>
      <c r="BH149" t="s">
        <v>74</v>
      </c>
      <c r="BI149">
        <v>10</v>
      </c>
      <c r="BJ149" t="s">
        <v>2396</v>
      </c>
      <c r="BK149" t="s">
        <v>170</v>
      </c>
      <c r="BL149" t="s">
        <v>2396</v>
      </c>
      <c r="BM149" t="s">
        <v>2397</v>
      </c>
      <c r="BN149" t="s">
        <v>74</v>
      </c>
      <c r="BO149" t="s">
        <v>74</v>
      </c>
      <c r="BP149" t="s">
        <v>74</v>
      </c>
      <c r="BQ149" t="s">
        <v>74</v>
      </c>
      <c r="BR149" t="s">
        <v>107</v>
      </c>
      <c r="BS149" t="s">
        <v>2398</v>
      </c>
      <c r="BT149" t="str">
        <f>HYPERLINK("https%3A%2F%2Fwww.webofscience.com%2Fwos%2Fwoscc%2Ffull-record%2FWOS:000176189400010","View Full Record in Web of Science")</f>
        <v>View Full Record in Web of Science</v>
      </c>
    </row>
    <row r="150" spans="1:72" x14ac:dyDescent="0.15">
      <c r="A150" t="s">
        <v>72</v>
      </c>
      <c r="B150" t="s">
        <v>2399</v>
      </c>
      <c r="C150" t="s">
        <v>74</v>
      </c>
      <c r="D150" t="s">
        <v>74</v>
      </c>
      <c r="E150" t="s">
        <v>74</v>
      </c>
      <c r="F150" t="s">
        <v>2399</v>
      </c>
      <c r="G150" t="s">
        <v>74</v>
      </c>
      <c r="H150" t="s">
        <v>74</v>
      </c>
      <c r="I150" t="s">
        <v>2400</v>
      </c>
      <c r="J150" t="s">
        <v>987</v>
      </c>
      <c r="K150" t="s">
        <v>74</v>
      </c>
      <c r="L150" t="s">
        <v>74</v>
      </c>
      <c r="M150" t="s">
        <v>77</v>
      </c>
      <c r="N150" t="s">
        <v>153</v>
      </c>
      <c r="O150" t="s">
        <v>74</v>
      </c>
      <c r="P150" t="s">
        <v>74</v>
      </c>
      <c r="Q150" t="s">
        <v>74</v>
      </c>
      <c r="R150" t="s">
        <v>74</v>
      </c>
      <c r="S150" t="s">
        <v>74</v>
      </c>
      <c r="T150" t="s">
        <v>74</v>
      </c>
      <c r="U150" t="s">
        <v>2401</v>
      </c>
      <c r="V150" t="s">
        <v>2402</v>
      </c>
      <c r="W150" t="s">
        <v>2403</v>
      </c>
      <c r="X150" t="s">
        <v>2404</v>
      </c>
      <c r="Y150" t="s">
        <v>347</v>
      </c>
      <c r="Z150" t="s">
        <v>74</v>
      </c>
      <c r="AA150" t="s">
        <v>74</v>
      </c>
      <c r="AB150" t="s">
        <v>74</v>
      </c>
      <c r="AC150" t="s">
        <v>74</v>
      </c>
      <c r="AD150" t="s">
        <v>74</v>
      </c>
      <c r="AE150" t="s">
        <v>74</v>
      </c>
      <c r="AF150" t="s">
        <v>74</v>
      </c>
      <c r="AG150">
        <v>29</v>
      </c>
      <c r="AH150">
        <v>9</v>
      </c>
      <c r="AI150">
        <v>9</v>
      </c>
      <c r="AJ150">
        <v>0</v>
      </c>
      <c r="AK150">
        <v>6</v>
      </c>
      <c r="AL150" t="s">
        <v>994</v>
      </c>
      <c r="AM150" t="s">
        <v>995</v>
      </c>
      <c r="AN150" t="s">
        <v>996</v>
      </c>
      <c r="AO150" t="s">
        <v>997</v>
      </c>
      <c r="AP150" t="s">
        <v>74</v>
      </c>
      <c r="AQ150" t="s">
        <v>74</v>
      </c>
      <c r="AR150" t="s">
        <v>998</v>
      </c>
      <c r="AS150" t="s">
        <v>999</v>
      </c>
      <c r="AT150" t="s">
        <v>2208</v>
      </c>
      <c r="AU150">
        <v>2002</v>
      </c>
      <c r="AV150">
        <v>80</v>
      </c>
      <c r="AW150">
        <v>5</v>
      </c>
      <c r="AX150" t="s">
        <v>74</v>
      </c>
      <c r="AY150" t="s">
        <v>74</v>
      </c>
      <c r="AZ150" t="s">
        <v>74</v>
      </c>
      <c r="BA150" t="s">
        <v>74</v>
      </c>
      <c r="BB150">
        <v>893</v>
      </c>
      <c r="BC150">
        <v>901</v>
      </c>
      <c r="BD150" t="s">
        <v>74</v>
      </c>
      <c r="BE150" t="s">
        <v>2405</v>
      </c>
      <c r="BF150" t="str">
        <f>HYPERLINK("http://dx.doi.org/10.1139/Z02-071","http://dx.doi.org/10.1139/Z02-071")</f>
        <v>http://dx.doi.org/10.1139/Z02-071</v>
      </c>
      <c r="BG150" t="s">
        <v>74</v>
      </c>
      <c r="BH150" t="s">
        <v>74</v>
      </c>
      <c r="BI150">
        <v>9</v>
      </c>
      <c r="BJ150" t="s">
        <v>1001</v>
      </c>
      <c r="BK150" t="s">
        <v>170</v>
      </c>
      <c r="BL150" t="s">
        <v>1001</v>
      </c>
      <c r="BM150" t="s">
        <v>2406</v>
      </c>
      <c r="BN150" t="s">
        <v>74</v>
      </c>
      <c r="BO150" t="s">
        <v>74</v>
      </c>
      <c r="BP150" t="s">
        <v>74</v>
      </c>
      <c r="BQ150" t="s">
        <v>74</v>
      </c>
      <c r="BR150" t="s">
        <v>107</v>
      </c>
      <c r="BS150" t="s">
        <v>2407</v>
      </c>
      <c r="BT150" t="str">
        <f>HYPERLINK("https%3A%2F%2Fwww.webofscience.com%2Fwos%2Fwoscc%2Ffull-record%2FWOS:000176419200012","View Full Record in Web of Science")</f>
        <v>View Full Record in Web of Science</v>
      </c>
    </row>
    <row r="151" spans="1:72" x14ac:dyDescent="0.15">
      <c r="A151" t="s">
        <v>72</v>
      </c>
      <c r="B151" t="s">
        <v>2408</v>
      </c>
      <c r="C151" t="s">
        <v>74</v>
      </c>
      <c r="D151" t="s">
        <v>74</v>
      </c>
      <c r="E151" t="s">
        <v>74</v>
      </c>
      <c r="F151" t="s">
        <v>2408</v>
      </c>
      <c r="G151" t="s">
        <v>74</v>
      </c>
      <c r="H151" t="s">
        <v>74</v>
      </c>
      <c r="I151" t="s">
        <v>2409</v>
      </c>
      <c r="J151" t="s">
        <v>2410</v>
      </c>
      <c r="K151" t="s">
        <v>74</v>
      </c>
      <c r="L151" t="s">
        <v>74</v>
      </c>
      <c r="M151" t="s">
        <v>77</v>
      </c>
      <c r="N151" t="s">
        <v>1790</v>
      </c>
      <c r="O151" t="s">
        <v>74</v>
      </c>
      <c r="P151" t="s">
        <v>74</v>
      </c>
      <c r="Q151" t="s">
        <v>74</v>
      </c>
      <c r="R151" t="s">
        <v>74</v>
      </c>
      <c r="S151" t="s">
        <v>74</v>
      </c>
      <c r="T151" t="s">
        <v>74</v>
      </c>
      <c r="U151" t="s">
        <v>74</v>
      </c>
      <c r="V151" t="s">
        <v>74</v>
      </c>
      <c r="W151" t="s">
        <v>74</v>
      </c>
      <c r="X151" t="s">
        <v>74</v>
      </c>
      <c r="Y151" t="s">
        <v>74</v>
      </c>
      <c r="Z151" t="s">
        <v>74</v>
      </c>
      <c r="AA151" t="s">
        <v>74</v>
      </c>
      <c r="AB151" t="s">
        <v>74</v>
      </c>
      <c r="AC151" t="s">
        <v>74</v>
      </c>
      <c r="AD151" t="s">
        <v>74</v>
      </c>
      <c r="AE151" t="s">
        <v>74</v>
      </c>
      <c r="AF151" t="s">
        <v>74</v>
      </c>
      <c r="AG151">
        <v>0</v>
      </c>
      <c r="AH151">
        <v>0</v>
      </c>
      <c r="AI151">
        <v>0</v>
      </c>
      <c r="AJ151">
        <v>0</v>
      </c>
      <c r="AK151">
        <v>0</v>
      </c>
      <c r="AL151" t="s">
        <v>2411</v>
      </c>
      <c r="AM151" t="s">
        <v>2412</v>
      </c>
      <c r="AN151" t="s">
        <v>2413</v>
      </c>
      <c r="AO151" t="s">
        <v>2414</v>
      </c>
      <c r="AP151" t="s">
        <v>74</v>
      </c>
      <c r="AQ151" t="s">
        <v>74</v>
      </c>
      <c r="AR151" t="s">
        <v>2415</v>
      </c>
      <c r="AS151" t="s">
        <v>2416</v>
      </c>
      <c r="AT151" t="s">
        <v>2208</v>
      </c>
      <c r="AU151">
        <v>2002</v>
      </c>
      <c r="AV151">
        <v>72</v>
      </c>
      <c r="AW151">
        <v>5</v>
      </c>
      <c r="AX151" t="s">
        <v>74</v>
      </c>
      <c r="AY151" t="s">
        <v>74</v>
      </c>
      <c r="AZ151" t="s">
        <v>74</v>
      </c>
      <c r="BA151" t="s">
        <v>74</v>
      </c>
      <c r="BB151">
        <v>16</v>
      </c>
      <c r="BC151">
        <v>16</v>
      </c>
      <c r="BD151" t="s">
        <v>74</v>
      </c>
      <c r="BE151" t="s">
        <v>74</v>
      </c>
      <c r="BF151" t="s">
        <v>74</v>
      </c>
      <c r="BG151" t="s">
        <v>74</v>
      </c>
      <c r="BH151" t="s">
        <v>74</v>
      </c>
      <c r="BI151">
        <v>1</v>
      </c>
      <c r="BJ151" t="s">
        <v>2417</v>
      </c>
      <c r="BK151" t="s">
        <v>170</v>
      </c>
      <c r="BL151" t="s">
        <v>2418</v>
      </c>
      <c r="BM151" t="s">
        <v>2419</v>
      </c>
      <c r="BN151" t="s">
        <v>74</v>
      </c>
      <c r="BO151" t="s">
        <v>74</v>
      </c>
      <c r="BP151" t="s">
        <v>74</v>
      </c>
      <c r="BQ151" t="s">
        <v>74</v>
      </c>
      <c r="BR151" t="s">
        <v>107</v>
      </c>
      <c r="BS151" t="s">
        <v>2420</v>
      </c>
      <c r="BT151" t="str">
        <f>HYPERLINK("https%3A%2F%2Fwww.webofscience.com%2Fwos%2Fwoscc%2Ffull-record%2FWOS:000175577000012","View Full Record in Web of Science")</f>
        <v>View Full Record in Web of Science</v>
      </c>
    </row>
    <row r="152" spans="1:72" x14ac:dyDescent="0.15">
      <c r="A152" t="s">
        <v>72</v>
      </c>
      <c r="B152" t="s">
        <v>2421</v>
      </c>
      <c r="C152" t="s">
        <v>74</v>
      </c>
      <c r="D152" t="s">
        <v>74</v>
      </c>
      <c r="E152" t="s">
        <v>74</v>
      </c>
      <c r="F152" t="s">
        <v>2421</v>
      </c>
      <c r="G152" t="s">
        <v>74</v>
      </c>
      <c r="H152" t="s">
        <v>74</v>
      </c>
      <c r="I152" t="s">
        <v>2422</v>
      </c>
      <c r="J152" t="s">
        <v>1025</v>
      </c>
      <c r="K152" t="s">
        <v>74</v>
      </c>
      <c r="L152" t="s">
        <v>74</v>
      </c>
      <c r="M152" t="s">
        <v>77</v>
      </c>
      <c r="N152" t="s">
        <v>153</v>
      </c>
      <c r="O152" t="s">
        <v>74</v>
      </c>
      <c r="P152" t="s">
        <v>74</v>
      </c>
      <c r="Q152" t="s">
        <v>74</v>
      </c>
      <c r="R152" t="s">
        <v>74</v>
      </c>
      <c r="S152" t="s">
        <v>74</v>
      </c>
      <c r="T152" t="s">
        <v>74</v>
      </c>
      <c r="U152" t="s">
        <v>2423</v>
      </c>
      <c r="V152" t="s">
        <v>2424</v>
      </c>
      <c r="W152" t="s">
        <v>2425</v>
      </c>
      <c r="X152" t="s">
        <v>2110</v>
      </c>
      <c r="Y152" t="s">
        <v>2426</v>
      </c>
      <c r="Z152" t="s">
        <v>2427</v>
      </c>
      <c r="AA152" t="s">
        <v>2428</v>
      </c>
      <c r="AB152" t="s">
        <v>74</v>
      </c>
      <c r="AC152" t="s">
        <v>74</v>
      </c>
      <c r="AD152" t="s">
        <v>74</v>
      </c>
      <c r="AE152" t="s">
        <v>74</v>
      </c>
      <c r="AF152" t="s">
        <v>74</v>
      </c>
      <c r="AG152">
        <v>27</v>
      </c>
      <c r="AH152">
        <v>19</v>
      </c>
      <c r="AI152">
        <v>19</v>
      </c>
      <c r="AJ152">
        <v>0</v>
      </c>
      <c r="AK152">
        <v>7</v>
      </c>
      <c r="AL152" t="s">
        <v>194</v>
      </c>
      <c r="AM152" t="s">
        <v>195</v>
      </c>
      <c r="AN152" t="s">
        <v>196</v>
      </c>
      <c r="AO152" t="s">
        <v>1033</v>
      </c>
      <c r="AP152" t="s">
        <v>2429</v>
      </c>
      <c r="AQ152" t="s">
        <v>74</v>
      </c>
      <c r="AR152" t="s">
        <v>1034</v>
      </c>
      <c r="AS152" t="s">
        <v>1035</v>
      </c>
      <c r="AT152" t="s">
        <v>2208</v>
      </c>
      <c r="AU152">
        <v>2002</v>
      </c>
      <c r="AV152">
        <v>19</v>
      </c>
      <c r="AW152">
        <v>1</v>
      </c>
      <c r="AX152" t="s">
        <v>74</v>
      </c>
      <c r="AY152" t="s">
        <v>74</v>
      </c>
      <c r="AZ152" t="s">
        <v>74</v>
      </c>
      <c r="BA152" t="s">
        <v>74</v>
      </c>
      <c r="BB152">
        <v>85</v>
      </c>
      <c r="BC152">
        <v>93</v>
      </c>
      <c r="BD152" t="s">
        <v>74</v>
      </c>
      <c r="BE152" t="s">
        <v>2430</v>
      </c>
      <c r="BF152" t="str">
        <f>HYPERLINK("http://dx.doi.org/10.1007/s00382-001-0210-z","http://dx.doi.org/10.1007/s00382-001-0210-z")</f>
        <v>http://dx.doi.org/10.1007/s00382-001-0210-z</v>
      </c>
      <c r="BG152" t="s">
        <v>74</v>
      </c>
      <c r="BH152" t="s">
        <v>74</v>
      </c>
      <c r="BI152">
        <v>9</v>
      </c>
      <c r="BJ152" t="s">
        <v>403</v>
      </c>
      <c r="BK152" t="s">
        <v>170</v>
      </c>
      <c r="BL152" t="s">
        <v>403</v>
      </c>
      <c r="BM152" t="s">
        <v>2431</v>
      </c>
      <c r="BN152" t="s">
        <v>74</v>
      </c>
      <c r="BO152" t="s">
        <v>74</v>
      </c>
      <c r="BP152" t="s">
        <v>74</v>
      </c>
      <c r="BQ152" t="s">
        <v>74</v>
      </c>
      <c r="BR152" t="s">
        <v>107</v>
      </c>
      <c r="BS152" t="s">
        <v>2432</v>
      </c>
      <c r="BT152" t="str">
        <f>HYPERLINK("https%3A%2F%2Fwww.webofscience.com%2Fwos%2Fwoscc%2Ffull-record%2FWOS:000175941500006","View Full Record in Web of Science")</f>
        <v>View Full Record in Web of Science</v>
      </c>
    </row>
    <row r="153" spans="1:72" x14ac:dyDescent="0.15">
      <c r="A153" t="s">
        <v>72</v>
      </c>
      <c r="B153" t="s">
        <v>2433</v>
      </c>
      <c r="C153" t="s">
        <v>74</v>
      </c>
      <c r="D153" t="s">
        <v>74</v>
      </c>
      <c r="E153" t="s">
        <v>74</v>
      </c>
      <c r="F153" t="s">
        <v>2433</v>
      </c>
      <c r="G153" t="s">
        <v>74</v>
      </c>
      <c r="H153" t="s">
        <v>74</v>
      </c>
      <c r="I153" t="s">
        <v>2434</v>
      </c>
      <c r="J153" t="s">
        <v>2435</v>
      </c>
      <c r="K153" t="s">
        <v>74</v>
      </c>
      <c r="L153" t="s">
        <v>74</v>
      </c>
      <c r="M153" t="s">
        <v>77</v>
      </c>
      <c r="N153" t="s">
        <v>153</v>
      </c>
      <c r="O153" t="s">
        <v>74</v>
      </c>
      <c r="P153" t="s">
        <v>74</v>
      </c>
      <c r="Q153" t="s">
        <v>74</v>
      </c>
      <c r="R153" t="s">
        <v>74</v>
      </c>
      <c r="S153" t="s">
        <v>74</v>
      </c>
      <c r="T153" t="s">
        <v>2436</v>
      </c>
      <c r="U153" t="s">
        <v>2437</v>
      </c>
      <c r="V153" t="s">
        <v>2438</v>
      </c>
      <c r="W153" t="s">
        <v>1950</v>
      </c>
      <c r="X153" t="s">
        <v>1951</v>
      </c>
      <c r="Y153" t="s">
        <v>2439</v>
      </c>
      <c r="Z153" t="s">
        <v>74</v>
      </c>
      <c r="AA153" t="s">
        <v>74</v>
      </c>
      <c r="AB153" t="s">
        <v>74</v>
      </c>
      <c r="AC153" t="s">
        <v>74</v>
      </c>
      <c r="AD153" t="s">
        <v>74</v>
      </c>
      <c r="AE153" t="s">
        <v>74</v>
      </c>
      <c r="AF153" t="s">
        <v>74</v>
      </c>
      <c r="AG153">
        <v>25</v>
      </c>
      <c r="AH153">
        <v>20</v>
      </c>
      <c r="AI153">
        <v>21</v>
      </c>
      <c r="AJ153">
        <v>0</v>
      </c>
      <c r="AK153">
        <v>13</v>
      </c>
      <c r="AL153" t="s">
        <v>290</v>
      </c>
      <c r="AM153" t="s">
        <v>195</v>
      </c>
      <c r="AN153" t="s">
        <v>291</v>
      </c>
      <c r="AO153" t="s">
        <v>2440</v>
      </c>
      <c r="AP153" t="s">
        <v>74</v>
      </c>
      <c r="AQ153" t="s">
        <v>74</v>
      </c>
      <c r="AR153" t="s">
        <v>2441</v>
      </c>
      <c r="AS153" t="s">
        <v>2442</v>
      </c>
      <c r="AT153" t="s">
        <v>2208</v>
      </c>
      <c r="AU153">
        <v>2002</v>
      </c>
      <c r="AV153">
        <v>29</v>
      </c>
      <c r="AW153">
        <v>5</v>
      </c>
      <c r="AX153" t="s">
        <v>74</v>
      </c>
      <c r="AY153" t="s">
        <v>74</v>
      </c>
      <c r="AZ153" t="s">
        <v>74</v>
      </c>
      <c r="BA153" t="s">
        <v>74</v>
      </c>
      <c r="BB153">
        <v>662</v>
      </c>
      <c r="BC153">
        <v>672</v>
      </c>
      <c r="BD153" t="s">
        <v>74</v>
      </c>
      <c r="BE153" t="s">
        <v>2443</v>
      </c>
      <c r="BF153" t="str">
        <f>HYPERLINK("http://dx.doi.org/10.1007/s00267-0015-1","http://dx.doi.org/10.1007/s00267-0015-1")</f>
        <v>http://dx.doi.org/10.1007/s00267-0015-1</v>
      </c>
      <c r="BG153" t="s">
        <v>74</v>
      </c>
      <c r="BH153" t="s">
        <v>74</v>
      </c>
      <c r="BI153">
        <v>11</v>
      </c>
      <c r="BJ153" t="s">
        <v>1019</v>
      </c>
      <c r="BK153" t="s">
        <v>170</v>
      </c>
      <c r="BL153" t="s">
        <v>1020</v>
      </c>
      <c r="BM153" t="s">
        <v>2444</v>
      </c>
      <c r="BN153">
        <v>12180180</v>
      </c>
      <c r="BO153" t="s">
        <v>74</v>
      </c>
      <c r="BP153" t="s">
        <v>74</v>
      </c>
      <c r="BQ153" t="s">
        <v>74</v>
      </c>
      <c r="BR153" t="s">
        <v>107</v>
      </c>
      <c r="BS153" t="s">
        <v>2445</v>
      </c>
      <c r="BT153" t="str">
        <f>HYPERLINK("https%3A%2F%2Fwww.webofscience.com%2Fwos%2Fwoscc%2Ffull-record%2FWOS:000175041200007","View Full Record in Web of Science")</f>
        <v>View Full Record in Web of Science</v>
      </c>
    </row>
    <row r="154" spans="1:72" x14ac:dyDescent="0.15">
      <c r="A154" t="s">
        <v>72</v>
      </c>
      <c r="B154" t="s">
        <v>2446</v>
      </c>
      <c r="C154" t="s">
        <v>74</v>
      </c>
      <c r="D154" t="s">
        <v>74</v>
      </c>
      <c r="E154" t="s">
        <v>74</v>
      </c>
      <c r="F154" t="s">
        <v>2446</v>
      </c>
      <c r="G154" t="s">
        <v>74</v>
      </c>
      <c r="H154" t="s">
        <v>74</v>
      </c>
      <c r="I154" t="s">
        <v>2447</v>
      </c>
      <c r="J154" t="s">
        <v>2448</v>
      </c>
      <c r="K154" t="s">
        <v>74</v>
      </c>
      <c r="L154" t="s">
        <v>74</v>
      </c>
      <c r="M154" t="s">
        <v>77</v>
      </c>
      <c r="N154" t="s">
        <v>153</v>
      </c>
      <c r="O154" t="s">
        <v>74</v>
      </c>
      <c r="P154" t="s">
        <v>74</v>
      </c>
      <c r="Q154" t="s">
        <v>74</v>
      </c>
      <c r="R154" t="s">
        <v>74</v>
      </c>
      <c r="S154" t="s">
        <v>74</v>
      </c>
      <c r="T154" t="s">
        <v>2449</v>
      </c>
      <c r="U154" t="s">
        <v>2450</v>
      </c>
      <c r="V154" t="s">
        <v>2451</v>
      </c>
      <c r="W154" t="s">
        <v>2452</v>
      </c>
      <c r="X154" t="s">
        <v>2453</v>
      </c>
      <c r="Y154" t="s">
        <v>2454</v>
      </c>
      <c r="Z154" t="s">
        <v>74</v>
      </c>
      <c r="AA154" t="s">
        <v>74</v>
      </c>
      <c r="AB154" t="s">
        <v>74</v>
      </c>
      <c r="AC154" t="s">
        <v>74</v>
      </c>
      <c r="AD154" t="s">
        <v>74</v>
      </c>
      <c r="AE154" t="s">
        <v>74</v>
      </c>
      <c r="AF154" t="s">
        <v>74</v>
      </c>
      <c r="AG154">
        <v>27</v>
      </c>
      <c r="AH154">
        <v>41</v>
      </c>
      <c r="AI154">
        <v>42</v>
      </c>
      <c r="AJ154">
        <v>0</v>
      </c>
      <c r="AK154">
        <v>3</v>
      </c>
      <c r="AL154" t="s">
        <v>2455</v>
      </c>
      <c r="AM154" t="s">
        <v>895</v>
      </c>
      <c r="AN154" t="s">
        <v>2456</v>
      </c>
      <c r="AO154" t="s">
        <v>2457</v>
      </c>
      <c r="AP154" t="s">
        <v>74</v>
      </c>
      <c r="AQ154" t="s">
        <v>74</v>
      </c>
      <c r="AR154" t="s">
        <v>2458</v>
      </c>
      <c r="AS154" t="s">
        <v>2459</v>
      </c>
      <c r="AT154" t="s">
        <v>2208</v>
      </c>
      <c r="AU154">
        <v>2002</v>
      </c>
      <c r="AV154">
        <v>269</v>
      </c>
      <c r="AW154">
        <v>9</v>
      </c>
      <c r="AX154" t="s">
        <v>74</v>
      </c>
      <c r="AY154" t="s">
        <v>74</v>
      </c>
      <c r="AZ154" t="s">
        <v>74</v>
      </c>
      <c r="BA154" t="s">
        <v>74</v>
      </c>
      <c r="BB154">
        <v>2330</v>
      </c>
      <c r="BC154">
        <v>2335</v>
      </c>
      <c r="BD154" t="s">
        <v>74</v>
      </c>
      <c r="BE154" t="s">
        <v>2460</v>
      </c>
      <c r="BF154" t="str">
        <f>HYPERLINK("http://dx.doi.org/10.1046/j.1432-1033.2002.02895.x","http://dx.doi.org/10.1046/j.1432-1033.2002.02895.x")</f>
        <v>http://dx.doi.org/10.1046/j.1432-1033.2002.02895.x</v>
      </c>
      <c r="BG154" t="s">
        <v>74</v>
      </c>
      <c r="BH154" t="s">
        <v>74</v>
      </c>
      <c r="BI154">
        <v>6</v>
      </c>
      <c r="BJ154" t="s">
        <v>2461</v>
      </c>
      <c r="BK154" t="s">
        <v>170</v>
      </c>
      <c r="BL154" t="s">
        <v>2461</v>
      </c>
      <c r="BM154" t="s">
        <v>2462</v>
      </c>
      <c r="BN154">
        <v>11985615</v>
      </c>
      <c r="BO154" t="s">
        <v>173</v>
      </c>
      <c r="BP154" t="s">
        <v>74</v>
      </c>
      <c r="BQ154" t="s">
        <v>74</v>
      </c>
      <c r="BR154" t="s">
        <v>107</v>
      </c>
      <c r="BS154" t="s">
        <v>2463</v>
      </c>
      <c r="BT154" t="str">
        <f>HYPERLINK("https%3A%2F%2Fwww.webofscience.com%2Fwos%2Fwoscc%2Ffull-record%2FWOS:000175438100010","View Full Record in Web of Science")</f>
        <v>View Full Record in Web of Science</v>
      </c>
    </row>
    <row r="155" spans="1:72" x14ac:dyDescent="0.15">
      <c r="A155" t="s">
        <v>72</v>
      </c>
      <c r="B155" t="s">
        <v>2464</v>
      </c>
      <c r="C155" t="s">
        <v>74</v>
      </c>
      <c r="D155" t="s">
        <v>74</v>
      </c>
      <c r="E155" t="s">
        <v>74</v>
      </c>
      <c r="F155" t="s">
        <v>2464</v>
      </c>
      <c r="G155" t="s">
        <v>74</v>
      </c>
      <c r="H155" t="s">
        <v>74</v>
      </c>
      <c r="I155" t="s">
        <v>2465</v>
      </c>
      <c r="J155" t="s">
        <v>1262</v>
      </c>
      <c r="K155" t="s">
        <v>74</v>
      </c>
      <c r="L155" t="s">
        <v>74</v>
      </c>
      <c r="M155" t="s">
        <v>77</v>
      </c>
      <c r="N155" t="s">
        <v>561</v>
      </c>
      <c r="O155" t="s">
        <v>74</v>
      </c>
      <c r="P155" t="s">
        <v>74</v>
      </c>
      <c r="Q155" t="s">
        <v>74</v>
      </c>
      <c r="R155" t="s">
        <v>74</v>
      </c>
      <c r="S155" t="s">
        <v>74</v>
      </c>
      <c r="T155" t="s">
        <v>74</v>
      </c>
      <c r="U155" t="s">
        <v>74</v>
      </c>
      <c r="V155" t="s">
        <v>74</v>
      </c>
      <c r="W155" t="s">
        <v>2466</v>
      </c>
      <c r="X155" t="s">
        <v>852</v>
      </c>
      <c r="Y155" t="s">
        <v>2467</v>
      </c>
      <c r="Z155" t="s">
        <v>74</v>
      </c>
      <c r="AA155" t="s">
        <v>74</v>
      </c>
      <c r="AB155" t="s">
        <v>2468</v>
      </c>
      <c r="AC155" t="s">
        <v>74</v>
      </c>
      <c r="AD155" t="s">
        <v>74</v>
      </c>
      <c r="AE155" t="s">
        <v>74</v>
      </c>
      <c r="AF155" t="s">
        <v>74</v>
      </c>
      <c r="AG155">
        <v>1</v>
      </c>
      <c r="AH155">
        <v>0</v>
      </c>
      <c r="AI155">
        <v>0</v>
      </c>
      <c r="AJ155">
        <v>0</v>
      </c>
      <c r="AK155">
        <v>1</v>
      </c>
      <c r="AL155" t="s">
        <v>132</v>
      </c>
      <c r="AM155" t="s">
        <v>91</v>
      </c>
      <c r="AN155" t="s">
        <v>133</v>
      </c>
      <c r="AO155" t="s">
        <v>1270</v>
      </c>
      <c r="AP155" t="s">
        <v>74</v>
      </c>
      <c r="AQ155" t="s">
        <v>74</v>
      </c>
      <c r="AR155" t="s">
        <v>1271</v>
      </c>
      <c r="AS155" t="s">
        <v>1272</v>
      </c>
      <c r="AT155" t="s">
        <v>2208</v>
      </c>
      <c r="AU155">
        <v>2002</v>
      </c>
      <c r="AV155">
        <v>56</v>
      </c>
      <c r="AW155">
        <v>2</v>
      </c>
      <c r="AX155" t="s">
        <v>74</v>
      </c>
      <c r="AY155" t="s">
        <v>74</v>
      </c>
      <c r="AZ155" t="s">
        <v>74</v>
      </c>
      <c r="BA155" t="s">
        <v>74</v>
      </c>
      <c r="BB155">
        <v>223</v>
      </c>
      <c r="BC155">
        <v>223</v>
      </c>
      <c r="BD155" t="s">
        <v>2469</v>
      </c>
      <c r="BE155" t="s">
        <v>2470</v>
      </c>
      <c r="BF155" t="str">
        <f>HYPERLINK("http://dx.doi.org/10.1016/S0165-7836(02)00030-9","http://dx.doi.org/10.1016/S0165-7836(02)00030-9")</f>
        <v>http://dx.doi.org/10.1016/S0165-7836(02)00030-9</v>
      </c>
      <c r="BG155" t="s">
        <v>74</v>
      </c>
      <c r="BH155" t="s">
        <v>74</v>
      </c>
      <c r="BI155">
        <v>1</v>
      </c>
      <c r="BJ155" t="s">
        <v>1275</v>
      </c>
      <c r="BK155" t="s">
        <v>170</v>
      </c>
      <c r="BL155" t="s">
        <v>1275</v>
      </c>
      <c r="BM155" t="s">
        <v>2471</v>
      </c>
      <c r="BN155" t="s">
        <v>74</v>
      </c>
      <c r="BO155" t="s">
        <v>74</v>
      </c>
      <c r="BP155" t="s">
        <v>74</v>
      </c>
      <c r="BQ155" t="s">
        <v>74</v>
      </c>
      <c r="BR155" t="s">
        <v>107</v>
      </c>
      <c r="BS155" t="s">
        <v>2472</v>
      </c>
      <c r="BT155" t="str">
        <f>HYPERLINK("https%3A%2F%2Fwww.webofscience.com%2Fwos%2Fwoscc%2Ffull-record%2FWOS:000175305200011","View Full Record in Web of Science")</f>
        <v>View Full Record in Web of Science</v>
      </c>
    </row>
    <row r="156" spans="1:72" x14ac:dyDescent="0.15">
      <c r="A156" t="s">
        <v>72</v>
      </c>
      <c r="B156" t="s">
        <v>2473</v>
      </c>
      <c r="C156" t="s">
        <v>74</v>
      </c>
      <c r="D156" t="s">
        <v>74</v>
      </c>
      <c r="E156" t="s">
        <v>74</v>
      </c>
      <c r="F156" t="s">
        <v>2473</v>
      </c>
      <c r="G156" t="s">
        <v>74</v>
      </c>
      <c r="H156" t="s">
        <v>74</v>
      </c>
      <c r="I156" t="s">
        <v>2474</v>
      </c>
      <c r="J156" t="s">
        <v>2475</v>
      </c>
      <c r="K156" t="s">
        <v>74</v>
      </c>
      <c r="L156" t="s">
        <v>74</v>
      </c>
      <c r="M156" t="s">
        <v>77</v>
      </c>
      <c r="N156" t="s">
        <v>947</v>
      </c>
      <c r="O156" t="s">
        <v>74</v>
      </c>
      <c r="P156" t="s">
        <v>74</v>
      </c>
      <c r="Q156" t="s">
        <v>74</v>
      </c>
      <c r="R156" t="s">
        <v>74</v>
      </c>
      <c r="S156" t="s">
        <v>74</v>
      </c>
      <c r="T156" t="s">
        <v>2476</v>
      </c>
      <c r="U156" t="s">
        <v>2477</v>
      </c>
      <c r="V156" t="s">
        <v>2478</v>
      </c>
      <c r="W156" t="s">
        <v>2479</v>
      </c>
      <c r="X156" t="s">
        <v>2480</v>
      </c>
      <c r="Y156" t="s">
        <v>74</v>
      </c>
      <c r="Z156" t="s">
        <v>2481</v>
      </c>
      <c r="AA156" t="s">
        <v>74</v>
      </c>
      <c r="AB156" t="s">
        <v>2482</v>
      </c>
      <c r="AC156" t="s">
        <v>74</v>
      </c>
      <c r="AD156" t="s">
        <v>74</v>
      </c>
      <c r="AE156" t="s">
        <v>74</v>
      </c>
      <c r="AF156" t="s">
        <v>74</v>
      </c>
      <c r="AG156">
        <v>137</v>
      </c>
      <c r="AH156">
        <v>38</v>
      </c>
      <c r="AI156">
        <v>47</v>
      </c>
      <c r="AJ156">
        <v>1</v>
      </c>
      <c r="AK156">
        <v>10</v>
      </c>
      <c r="AL156" t="s">
        <v>194</v>
      </c>
      <c r="AM156" t="s">
        <v>1251</v>
      </c>
      <c r="AN156" t="s">
        <v>1252</v>
      </c>
      <c r="AO156" t="s">
        <v>2483</v>
      </c>
      <c r="AP156" t="s">
        <v>2484</v>
      </c>
      <c r="AQ156" t="s">
        <v>74</v>
      </c>
      <c r="AR156" t="s">
        <v>2475</v>
      </c>
      <c r="AS156" t="s">
        <v>2485</v>
      </c>
      <c r="AT156" t="s">
        <v>2208</v>
      </c>
      <c r="AU156">
        <v>2002</v>
      </c>
      <c r="AV156">
        <v>115</v>
      </c>
      <c r="AW156">
        <v>1</v>
      </c>
      <c r="AX156" t="s">
        <v>74</v>
      </c>
      <c r="AY156" t="s">
        <v>74</v>
      </c>
      <c r="AZ156" t="s">
        <v>74</v>
      </c>
      <c r="BA156" t="s">
        <v>74</v>
      </c>
      <c r="BB156">
        <v>65</v>
      </c>
      <c r="BC156">
        <v>80</v>
      </c>
      <c r="BD156" t="s">
        <v>74</v>
      </c>
      <c r="BE156" t="s">
        <v>2486</v>
      </c>
      <c r="BF156" t="str">
        <f>HYPERLINK("http://dx.doi.org/10.1023/A:1016024131097","http://dx.doi.org/10.1023/A:1016024131097")</f>
        <v>http://dx.doi.org/10.1023/A:1016024131097</v>
      </c>
      <c r="BG156" t="s">
        <v>74</v>
      </c>
      <c r="BH156" t="s">
        <v>74</v>
      </c>
      <c r="BI156">
        <v>16</v>
      </c>
      <c r="BJ156" t="s">
        <v>2487</v>
      </c>
      <c r="BK156" t="s">
        <v>170</v>
      </c>
      <c r="BL156" t="s">
        <v>2487</v>
      </c>
      <c r="BM156" t="s">
        <v>2488</v>
      </c>
      <c r="BN156">
        <v>12188049</v>
      </c>
      <c r="BO156" t="s">
        <v>74</v>
      </c>
      <c r="BP156" t="s">
        <v>74</v>
      </c>
      <c r="BQ156" t="s">
        <v>74</v>
      </c>
      <c r="BR156" t="s">
        <v>107</v>
      </c>
      <c r="BS156" t="s">
        <v>2489</v>
      </c>
      <c r="BT156" t="str">
        <f>HYPERLINK("https%3A%2F%2Fwww.webofscience.com%2Fwos%2Fwoscc%2Ffull-record%2FWOS:000176413900006","View Full Record in Web of Science")</f>
        <v>View Full Record in Web of Science</v>
      </c>
    </row>
    <row r="157" spans="1:72" x14ac:dyDescent="0.15">
      <c r="A157" t="s">
        <v>72</v>
      </c>
      <c r="B157" t="s">
        <v>2490</v>
      </c>
      <c r="C157" t="s">
        <v>74</v>
      </c>
      <c r="D157" t="s">
        <v>74</v>
      </c>
      <c r="E157" t="s">
        <v>74</v>
      </c>
      <c r="F157" t="s">
        <v>2490</v>
      </c>
      <c r="G157" t="s">
        <v>74</v>
      </c>
      <c r="H157" t="s">
        <v>74</v>
      </c>
      <c r="I157" t="s">
        <v>2491</v>
      </c>
      <c r="J157" t="s">
        <v>2492</v>
      </c>
      <c r="K157" t="s">
        <v>74</v>
      </c>
      <c r="L157" t="s">
        <v>74</v>
      </c>
      <c r="M157" t="s">
        <v>77</v>
      </c>
      <c r="N157" t="s">
        <v>153</v>
      </c>
      <c r="O157" t="s">
        <v>74</v>
      </c>
      <c r="P157" t="s">
        <v>74</v>
      </c>
      <c r="Q157" t="s">
        <v>74</v>
      </c>
      <c r="R157" t="s">
        <v>74</v>
      </c>
      <c r="S157" t="s">
        <v>74</v>
      </c>
      <c r="T157" t="s">
        <v>2493</v>
      </c>
      <c r="U157" t="s">
        <v>2494</v>
      </c>
      <c r="V157" t="s">
        <v>2495</v>
      </c>
      <c r="W157" t="s">
        <v>2496</v>
      </c>
      <c r="X157" t="s">
        <v>2497</v>
      </c>
      <c r="Y157" t="s">
        <v>2498</v>
      </c>
      <c r="Z157" t="s">
        <v>74</v>
      </c>
      <c r="AA157" t="s">
        <v>2499</v>
      </c>
      <c r="AB157" t="s">
        <v>2500</v>
      </c>
      <c r="AC157" t="s">
        <v>74</v>
      </c>
      <c r="AD157" t="s">
        <v>74</v>
      </c>
      <c r="AE157" t="s">
        <v>74</v>
      </c>
      <c r="AF157" t="s">
        <v>74</v>
      </c>
      <c r="AG157">
        <v>46</v>
      </c>
      <c r="AH157">
        <v>21</v>
      </c>
      <c r="AI157">
        <v>21</v>
      </c>
      <c r="AJ157">
        <v>0</v>
      </c>
      <c r="AK157">
        <v>2</v>
      </c>
      <c r="AL157" t="s">
        <v>753</v>
      </c>
      <c r="AM157" t="s">
        <v>195</v>
      </c>
      <c r="AN157" t="s">
        <v>754</v>
      </c>
      <c r="AO157" t="s">
        <v>2501</v>
      </c>
      <c r="AP157" t="s">
        <v>74</v>
      </c>
      <c r="AQ157" t="s">
        <v>74</v>
      </c>
      <c r="AR157" t="s">
        <v>2502</v>
      </c>
      <c r="AS157" t="s">
        <v>2503</v>
      </c>
      <c r="AT157" t="s">
        <v>2208</v>
      </c>
      <c r="AU157">
        <v>2002</v>
      </c>
      <c r="AV157">
        <v>139</v>
      </c>
      <c r="AW157">
        <v>3</v>
      </c>
      <c r="AX157" t="s">
        <v>74</v>
      </c>
      <c r="AY157" t="s">
        <v>74</v>
      </c>
      <c r="AZ157" t="s">
        <v>74</v>
      </c>
      <c r="BA157" t="s">
        <v>74</v>
      </c>
      <c r="BB157">
        <v>313</v>
      </c>
      <c r="BC157">
        <v>330</v>
      </c>
      <c r="BD157" t="s">
        <v>74</v>
      </c>
      <c r="BE157" t="s">
        <v>2504</v>
      </c>
      <c r="BF157" t="str">
        <f>HYPERLINK("http://dx.doi.org/10.1017/S0016756802006465","http://dx.doi.org/10.1017/S0016756802006465")</f>
        <v>http://dx.doi.org/10.1017/S0016756802006465</v>
      </c>
      <c r="BG157" t="s">
        <v>74</v>
      </c>
      <c r="BH157" t="s">
        <v>74</v>
      </c>
      <c r="BI157">
        <v>18</v>
      </c>
      <c r="BJ157" t="s">
        <v>608</v>
      </c>
      <c r="BK157" t="s">
        <v>170</v>
      </c>
      <c r="BL157" t="s">
        <v>439</v>
      </c>
      <c r="BM157" t="s">
        <v>2505</v>
      </c>
      <c r="BN157" t="s">
        <v>74</v>
      </c>
      <c r="BO157" t="s">
        <v>74</v>
      </c>
      <c r="BP157" t="s">
        <v>74</v>
      </c>
      <c r="BQ157" t="s">
        <v>74</v>
      </c>
      <c r="BR157" t="s">
        <v>107</v>
      </c>
      <c r="BS157" t="s">
        <v>2506</v>
      </c>
      <c r="BT157" t="str">
        <f>HYPERLINK("https%3A%2F%2Fwww.webofscience.com%2Fwos%2Fwoscc%2Ffull-record%2FWOS:000177867200005","View Full Record in Web of Science")</f>
        <v>View Full Record in Web of Science</v>
      </c>
    </row>
    <row r="158" spans="1:72" x14ac:dyDescent="0.15">
      <c r="A158" t="s">
        <v>72</v>
      </c>
      <c r="B158" t="s">
        <v>2507</v>
      </c>
      <c r="C158" t="s">
        <v>74</v>
      </c>
      <c r="D158" t="s">
        <v>74</v>
      </c>
      <c r="E158" t="s">
        <v>74</v>
      </c>
      <c r="F158" t="s">
        <v>2507</v>
      </c>
      <c r="G158" t="s">
        <v>74</v>
      </c>
      <c r="H158" t="s">
        <v>74</v>
      </c>
      <c r="I158" t="s">
        <v>2508</v>
      </c>
      <c r="J158" t="s">
        <v>1320</v>
      </c>
      <c r="K158" t="s">
        <v>74</v>
      </c>
      <c r="L158" t="s">
        <v>74</v>
      </c>
      <c r="M158" t="s">
        <v>77</v>
      </c>
      <c r="N158" t="s">
        <v>153</v>
      </c>
      <c r="O158" t="s">
        <v>74</v>
      </c>
      <c r="P158" t="s">
        <v>74</v>
      </c>
      <c r="Q158" t="s">
        <v>74</v>
      </c>
      <c r="R158" t="s">
        <v>74</v>
      </c>
      <c r="S158" t="s">
        <v>74</v>
      </c>
      <c r="T158" t="s">
        <v>2509</v>
      </c>
      <c r="U158" t="s">
        <v>2510</v>
      </c>
      <c r="V158" t="s">
        <v>2511</v>
      </c>
      <c r="W158" t="s">
        <v>2512</v>
      </c>
      <c r="X158" t="s">
        <v>2513</v>
      </c>
      <c r="Y158" t="s">
        <v>2514</v>
      </c>
      <c r="Z158" t="s">
        <v>2515</v>
      </c>
      <c r="AA158" t="s">
        <v>74</v>
      </c>
      <c r="AB158" t="s">
        <v>2516</v>
      </c>
      <c r="AC158" t="s">
        <v>74</v>
      </c>
      <c r="AD158" t="s">
        <v>74</v>
      </c>
      <c r="AE158" t="s">
        <v>74</v>
      </c>
      <c r="AF158" t="s">
        <v>74</v>
      </c>
      <c r="AG158">
        <v>23</v>
      </c>
      <c r="AH158">
        <v>12</v>
      </c>
      <c r="AI158">
        <v>14</v>
      </c>
      <c r="AJ158">
        <v>0</v>
      </c>
      <c r="AK158">
        <v>10</v>
      </c>
      <c r="AL158" t="s">
        <v>2517</v>
      </c>
      <c r="AM158" t="s">
        <v>1350</v>
      </c>
      <c r="AN158" t="s">
        <v>1351</v>
      </c>
      <c r="AO158" t="s">
        <v>1332</v>
      </c>
      <c r="AP158" t="s">
        <v>2518</v>
      </c>
      <c r="AQ158" t="s">
        <v>74</v>
      </c>
      <c r="AR158" t="s">
        <v>1333</v>
      </c>
      <c r="AS158" t="s">
        <v>1334</v>
      </c>
      <c r="AT158" t="s">
        <v>2208</v>
      </c>
      <c r="AU158">
        <v>2002</v>
      </c>
      <c r="AV158">
        <v>114</v>
      </c>
      <c r="AW158">
        <v>5</v>
      </c>
      <c r="AX158" t="s">
        <v>74</v>
      </c>
      <c r="AY158" t="s">
        <v>74</v>
      </c>
      <c r="AZ158" t="s">
        <v>74</v>
      </c>
      <c r="BA158" t="s">
        <v>74</v>
      </c>
      <c r="BB158">
        <v>605</v>
      </c>
      <c r="BC158">
        <v>618</v>
      </c>
      <c r="BD158" t="s">
        <v>74</v>
      </c>
      <c r="BE158" t="s">
        <v>2519</v>
      </c>
      <c r="BF158" t="str">
        <f>HYPERLINK("http://dx.doi.org/10.1130/0016-7606(2002)114&lt;0605:LCPISV&gt;2.0.CO;2","http://dx.doi.org/10.1130/0016-7606(2002)114&lt;0605:LCPISV&gt;2.0.CO;2")</f>
        <v>http://dx.doi.org/10.1130/0016-7606(2002)114&lt;0605:LCPISV&gt;2.0.CO;2</v>
      </c>
      <c r="BG158" t="s">
        <v>74</v>
      </c>
      <c r="BH158" t="s">
        <v>74</v>
      </c>
      <c r="BI158">
        <v>14</v>
      </c>
      <c r="BJ158" t="s">
        <v>608</v>
      </c>
      <c r="BK158" t="s">
        <v>170</v>
      </c>
      <c r="BL158" t="s">
        <v>439</v>
      </c>
      <c r="BM158" t="s">
        <v>2520</v>
      </c>
      <c r="BN158" t="s">
        <v>74</v>
      </c>
      <c r="BO158" t="s">
        <v>74</v>
      </c>
      <c r="BP158" t="s">
        <v>74</v>
      </c>
      <c r="BQ158" t="s">
        <v>74</v>
      </c>
      <c r="BR158" t="s">
        <v>107</v>
      </c>
      <c r="BS158" t="s">
        <v>2521</v>
      </c>
      <c r="BT158" t="str">
        <f>HYPERLINK("https%3A%2F%2Fwww.webofscience.com%2Fwos%2Fwoscc%2Ffull-record%2FWOS:000175579500008","View Full Record in Web of Science")</f>
        <v>View Full Record in Web of Science</v>
      </c>
    </row>
    <row r="159" spans="1:72" x14ac:dyDescent="0.15">
      <c r="A159" t="s">
        <v>72</v>
      </c>
      <c r="B159" t="s">
        <v>2522</v>
      </c>
      <c r="C159" t="s">
        <v>74</v>
      </c>
      <c r="D159" t="s">
        <v>74</v>
      </c>
      <c r="E159" t="s">
        <v>74</v>
      </c>
      <c r="F159" t="s">
        <v>2522</v>
      </c>
      <c r="G159" t="s">
        <v>74</v>
      </c>
      <c r="H159" t="s">
        <v>74</v>
      </c>
      <c r="I159" t="s">
        <v>2523</v>
      </c>
      <c r="J159" t="s">
        <v>1340</v>
      </c>
      <c r="K159" t="s">
        <v>74</v>
      </c>
      <c r="L159" t="s">
        <v>74</v>
      </c>
      <c r="M159" t="s">
        <v>77</v>
      </c>
      <c r="N159" t="s">
        <v>153</v>
      </c>
      <c r="O159" t="s">
        <v>74</v>
      </c>
      <c r="P159" t="s">
        <v>74</v>
      </c>
      <c r="Q159" t="s">
        <v>74</v>
      </c>
      <c r="R159" t="s">
        <v>74</v>
      </c>
      <c r="S159" t="s">
        <v>74</v>
      </c>
      <c r="T159" t="s">
        <v>2524</v>
      </c>
      <c r="U159" t="s">
        <v>2525</v>
      </c>
      <c r="V159" t="s">
        <v>2526</v>
      </c>
      <c r="W159" t="s">
        <v>2527</v>
      </c>
      <c r="X159" t="s">
        <v>2528</v>
      </c>
      <c r="Y159" t="s">
        <v>2529</v>
      </c>
      <c r="Z159" t="s">
        <v>74</v>
      </c>
      <c r="AA159" t="s">
        <v>74</v>
      </c>
      <c r="AB159" t="s">
        <v>74</v>
      </c>
      <c r="AC159" t="s">
        <v>74</v>
      </c>
      <c r="AD159" t="s">
        <v>74</v>
      </c>
      <c r="AE159" t="s">
        <v>74</v>
      </c>
      <c r="AF159" t="s">
        <v>74</v>
      </c>
      <c r="AG159">
        <v>47</v>
      </c>
      <c r="AH159">
        <v>30</v>
      </c>
      <c r="AI159">
        <v>39</v>
      </c>
      <c r="AJ159">
        <v>0</v>
      </c>
      <c r="AK159">
        <v>12</v>
      </c>
      <c r="AL159" t="s">
        <v>1349</v>
      </c>
      <c r="AM159" t="s">
        <v>1350</v>
      </c>
      <c r="AN159" t="s">
        <v>1351</v>
      </c>
      <c r="AO159" t="s">
        <v>1352</v>
      </c>
      <c r="AP159" t="s">
        <v>74</v>
      </c>
      <c r="AQ159" t="s">
        <v>74</v>
      </c>
      <c r="AR159" t="s">
        <v>1340</v>
      </c>
      <c r="AS159" t="s">
        <v>439</v>
      </c>
      <c r="AT159" t="s">
        <v>2208</v>
      </c>
      <c r="AU159">
        <v>2002</v>
      </c>
      <c r="AV159">
        <v>30</v>
      </c>
      <c r="AW159">
        <v>5</v>
      </c>
      <c r="AX159" t="s">
        <v>74</v>
      </c>
      <c r="AY159" t="s">
        <v>74</v>
      </c>
      <c r="AZ159" t="s">
        <v>74</v>
      </c>
      <c r="BA159" t="s">
        <v>74</v>
      </c>
      <c r="BB159">
        <v>435</v>
      </c>
      <c r="BC159">
        <v>438</v>
      </c>
      <c r="BD159" t="s">
        <v>74</v>
      </c>
      <c r="BE159" t="s">
        <v>2530</v>
      </c>
      <c r="BF159" t="str">
        <f>HYPERLINK("http://dx.doi.org/10.1130/0091-7613(2002)030&lt;0435:BFROHD&gt;2.0.CO;2","http://dx.doi.org/10.1130/0091-7613(2002)030&lt;0435:BFROHD&gt;2.0.CO;2")</f>
        <v>http://dx.doi.org/10.1130/0091-7613(2002)030&lt;0435:BFROHD&gt;2.0.CO;2</v>
      </c>
      <c r="BG159" t="s">
        <v>74</v>
      </c>
      <c r="BH159" t="s">
        <v>74</v>
      </c>
      <c r="BI159">
        <v>4</v>
      </c>
      <c r="BJ159" t="s">
        <v>439</v>
      </c>
      <c r="BK159" t="s">
        <v>170</v>
      </c>
      <c r="BL159" t="s">
        <v>439</v>
      </c>
      <c r="BM159" t="s">
        <v>2531</v>
      </c>
      <c r="BN159" t="s">
        <v>74</v>
      </c>
      <c r="BO159" t="s">
        <v>74</v>
      </c>
      <c r="BP159" t="s">
        <v>74</v>
      </c>
      <c r="BQ159" t="s">
        <v>74</v>
      </c>
      <c r="BR159" t="s">
        <v>107</v>
      </c>
      <c r="BS159" t="s">
        <v>2532</v>
      </c>
      <c r="BT159" t="str">
        <f>HYPERLINK("https%3A%2F%2Fwww.webofscience.com%2Fwos%2Fwoscc%2Ffull-record%2FWOS:000175579300012","View Full Record in Web of Science")</f>
        <v>View Full Record in Web of Science</v>
      </c>
    </row>
    <row r="160" spans="1:72" x14ac:dyDescent="0.15">
      <c r="A160" t="s">
        <v>72</v>
      </c>
      <c r="B160" t="s">
        <v>2533</v>
      </c>
      <c r="C160" t="s">
        <v>74</v>
      </c>
      <c r="D160" t="s">
        <v>74</v>
      </c>
      <c r="E160" t="s">
        <v>74</v>
      </c>
      <c r="F160" t="s">
        <v>2533</v>
      </c>
      <c r="G160" t="s">
        <v>74</v>
      </c>
      <c r="H160" t="s">
        <v>74</v>
      </c>
      <c r="I160" t="s">
        <v>2534</v>
      </c>
      <c r="J160" t="s">
        <v>2535</v>
      </c>
      <c r="K160" t="s">
        <v>74</v>
      </c>
      <c r="L160" t="s">
        <v>74</v>
      </c>
      <c r="M160" t="s">
        <v>77</v>
      </c>
      <c r="N160" t="s">
        <v>153</v>
      </c>
      <c r="O160" t="s">
        <v>74</v>
      </c>
      <c r="P160" t="s">
        <v>74</v>
      </c>
      <c r="Q160" t="s">
        <v>74</v>
      </c>
      <c r="R160" t="s">
        <v>74</v>
      </c>
      <c r="S160" t="s">
        <v>74</v>
      </c>
      <c r="T160" t="s">
        <v>74</v>
      </c>
      <c r="U160" t="s">
        <v>2536</v>
      </c>
      <c r="V160" t="s">
        <v>2537</v>
      </c>
      <c r="W160" t="s">
        <v>2538</v>
      </c>
      <c r="X160" t="s">
        <v>2539</v>
      </c>
      <c r="Y160" t="s">
        <v>2540</v>
      </c>
      <c r="Z160" t="s">
        <v>74</v>
      </c>
      <c r="AA160" t="s">
        <v>74</v>
      </c>
      <c r="AB160" t="s">
        <v>74</v>
      </c>
      <c r="AC160" t="s">
        <v>74</v>
      </c>
      <c r="AD160" t="s">
        <v>74</v>
      </c>
      <c r="AE160" t="s">
        <v>74</v>
      </c>
      <c r="AF160" t="s">
        <v>74</v>
      </c>
      <c r="AG160">
        <v>22</v>
      </c>
      <c r="AH160">
        <v>0</v>
      </c>
      <c r="AI160">
        <v>0</v>
      </c>
      <c r="AJ160">
        <v>0</v>
      </c>
      <c r="AK160">
        <v>1</v>
      </c>
      <c r="AL160" t="s">
        <v>1179</v>
      </c>
      <c r="AM160" t="s">
        <v>1180</v>
      </c>
      <c r="AN160" t="s">
        <v>1181</v>
      </c>
      <c r="AO160" t="s">
        <v>2541</v>
      </c>
      <c r="AP160" t="s">
        <v>74</v>
      </c>
      <c r="AQ160" t="s">
        <v>74</v>
      </c>
      <c r="AR160" t="s">
        <v>2542</v>
      </c>
      <c r="AS160" t="s">
        <v>2543</v>
      </c>
      <c r="AT160" t="s">
        <v>2354</v>
      </c>
      <c r="AU160">
        <v>2002</v>
      </c>
      <c r="AV160">
        <v>42</v>
      </c>
      <c r="AW160">
        <v>3</v>
      </c>
      <c r="AX160" t="s">
        <v>74</v>
      </c>
      <c r="AY160" t="s">
        <v>74</v>
      </c>
      <c r="AZ160" t="s">
        <v>74</v>
      </c>
      <c r="BA160" t="s">
        <v>74</v>
      </c>
      <c r="BB160">
        <v>404</v>
      </c>
      <c r="BC160">
        <v>409</v>
      </c>
      <c r="BD160" t="s">
        <v>74</v>
      </c>
      <c r="BE160" t="s">
        <v>74</v>
      </c>
      <c r="BF160" t="s">
        <v>74</v>
      </c>
      <c r="BG160" t="s">
        <v>74</v>
      </c>
      <c r="BH160" t="s">
        <v>74</v>
      </c>
      <c r="BI160">
        <v>6</v>
      </c>
      <c r="BJ160" t="s">
        <v>556</v>
      </c>
      <c r="BK160" t="s">
        <v>170</v>
      </c>
      <c r="BL160" t="s">
        <v>556</v>
      </c>
      <c r="BM160" t="s">
        <v>2544</v>
      </c>
      <c r="BN160" t="s">
        <v>74</v>
      </c>
      <c r="BO160" t="s">
        <v>74</v>
      </c>
      <c r="BP160" t="s">
        <v>74</v>
      </c>
      <c r="BQ160" t="s">
        <v>74</v>
      </c>
      <c r="BR160" t="s">
        <v>107</v>
      </c>
      <c r="BS160" t="s">
        <v>2545</v>
      </c>
      <c r="BT160" t="str">
        <f>HYPERLINK("https%3A%2F%2Fwww.webofscience.com%2Fwos%2Fwoscc%2Ffull-record%2FWOS:000176606100020","View Full Record in Web of Science")</f>
        <v>View Full Record in Web of Science</v>
      </c>
    </row>
    <row r="161" spans="1:72" x14ac:dyDescent="0.15">
      <c r="A161" t="s">
        <v>72</v>
      </c>
      <c r="B161" t="s">
        <v>2546</v>
      </c>
      <c r="C161" t="s">
        <v>74</v>
      </c>
      <c r="D161" t="s">
        <v>74</v>
      </c>
      <c r="E161" t="s">
        <v>74</v>
      </c>
      <c r="F161" t="s">
        <v>2546</v>
      </c>
      <c r="G161" t="s">
        <v>74</v>
      </c>
      <c r="H161" t="s">
        <v>74</v>
      </c>
      <c r="I161" t="s">
        <v>2547</v>
      </c>
      <c r="J161" t="s">
        <v>594</v>
      </c>
      <c r="K161" t="s">
        <v>74</v>
      </c>
      <c r="L161" t="s">
        <v>74</v>
      </c>
      <c r="M161" t="s">
        <v>77</v>
      </c>
      <c r="N161" t="s">
        <v>153</v>
      </c>
      <c r="O161" t="s">
        <v>74</v>
      </c>
      <c r="P161" t="s">
        <v>74</v>
      </c>
      <c r="Q161" t="s">
        <v>74</v>
      </c>
      <c r="R161" t="s">
        <v>74</v>
      </c>
      <c r="S161" t="s">
        <v>74</v>
      </c>
      <c r="T161" t="s">
        <v>74</v>
      </c>
      <c r="U161" t="s">
        <v>2548</v>
      </c>
      <c r="V161" t="s">
        <v>2549</v>
      </c>
      <c r="W161" t="s">
        <v>2550</v>
      </c>
      <c r="X161" t="s">
        <v>2551</v>
      </c>
      <c r="Y161" t="s">
        <v>2552</v>
      </c>
      <c r="Z161" t="s">
        <v>2553</v>
      </c>
      <c r="AA161" t="s">
        <v>74</v>
      </c>
      <c r="AB161" t="s">
        <v>74</v>
      </c>
      <c r="AC161" t="s">
        <v>74</v>
      </c>
      <c r="AD161" t="s">
        <v>74</v>
      </c>
      <c r="AE161" t="s">
        <v>74</v>
      </c>
      <c r="AF161" t="s">
        <v>74</v>
      </c>
      <c r="AG161">
        <v>24</v>
      </c>
      <c r="AH161">
        <v>25</v>
      </c>
      <c r="AI161">
        <v>27</v>
      </c>
      <c r="AJ161">
        <v>0</v>
      </c>
      <c r="AK161">
        <v>20</v>
      </c>
      <c r="AL161" t="s">
        <v>161</v>
      </c>
      <c r="AM161" t="s">
        <v>162</v>
      </c>
      <c r="AN161" t="s">
        <v>163</v>
      </c>
      <c r="AO161" t="s">
        <v>602</v>
      </c>
      <c r="AP161" t="s">
        <v>603</v>
      </c>
      <c r="AQ161" t="s">
        <v>74</v>
      </c>
      <c r="AR161" t="s">
        <v>604</v>
      </c>
      <c r="AS161" t="s">
        <v>605</v>
      </c>
      <c r="AT161" t="s">
        <v>2186</v>
      </c>
      <c r="AU161">
        <v>2002</v>
      </c>
      <c r="AV161">
        <v>29</v>
      </c>
      <c r="AW161">
        <v>9</v>
      </c>
      <c r="AX161" t="s">
        <v>74</v>
      </c>
      <c r="AY161" t="s">
        <v>74</v>
      </c>
      <c r="AZ161" t="s">
        <v>74</v>
      </c>
      <c r="BA161" t="s">
        <v>74</v>
      </c>
      <c r="BB161" t="s">
        <v>74</v>
      </c>
      <c r="BC161" t="s">
        <v>74</v>
      </c>
      <c r="BD161">
        <v>1359</v>
      </c>
      <c r="BE161" t="s">
        <v>2554</v>
      </c>
      <c r="BF161" t="str">
        <f>HYPERLINK("http://dx.doi.org/10.1029/2002GL014796","http://dx.doi.org/10.1029/2002GL014796")</f>
        <v>http://dx.doi.org/10.1029/2002GL014796</v>
      </c>
      <c r="BG161" t="s">
        <v>74</v>
      </c>
      <c r="BH161" t="s">
        <v>74</v>
      </c>
      <c r="BI161">
        <v>4</v>
      </c>
      <c r="BJ161" t="s">
        <v>608</v>
      </c>
      <c r="BK161" t="s">
        <v>170</v>
      </c>
      <c r="BL161" t="s">
        <v>439</v>
      </c>
      <c r="BM161" t="s">
        <v>2555</v>
      </c>
      <c r="BN161" t="s">
        <v>74</v>
      </c>
      <c r="BO161" t="s">
        <v>2052</v>
      </c>
      <c r="BP161" t="s">
        <v>74</v>
      </c>
      <c r="BQ161" t="s">
        <v>74</v>
      </c>
      <c r="BR161" t="s">
        <v>107</v>
      </c>
      <c r="BS161" t="s">
        <v>2556</v>
      </c>
      <c r="BT161" t="str">
        <f>HYPERLINK("https%3A%2F%2Fwww.webofscience.com%2Fwos%2Fwoscc%2Ffull-record%2FWOS:000178888000004","View Full Record in Web of Science")</f>
        <v>View Full Record in Web of Science</v>
      </c>
    </row>
    <row r="162" spans="1:72" x14ac:dyDescent="0.15">
      <c r="A162" t="s">
        <v>72</v>
      </c>
      <c r="B162" t="s">
        <v>2557</v>
      </c>
      <c r="C162" t="s">
        <v>74</v>
      </c>
      <c r="D162" t="s">
        <v>74</v>
      </c>
      <c r="E162" t="s">
        <v>74</v>
      </c>
      <c r="F162" t="s">
        <v>2557</v>
      </c>
      <c r="G162" t="s">
        <v>74</v>
      </c>
      <c r="H162" t="s">
        <v>74</v>
      </c>
      <c r="I162" t="s">
        <v>2558</v>
      </c>
      <c r="J162" t="s">
        <v>594</v>
      </c>
      <c r="K162" t="s">
        <v>74</v>
      </c>
      <c r="L162" t="s">
        <v>74</v>
      </c>
      <c r="M162" t="s">
        <v>77</v>
      </c>
      <c r="N162" t="s">
        <v>153</v>
      </c>
      <c r="O162" t="s">
        <v>74</v>
      </c>
      <c r="P162" t="s">
        <v>74</v>
      </c>
      <c r="Q162" t="s">
        <v>74</v>
      </c>
      <c r="R162" t="s">
        <v>74</v>
      </c>
      <c r="S162" t="s">
        <v>74</v>
      </c>
      <c r="T162" t="s">
        <v>74</v>
      </c>
      <c r="U162" t="s">
        <v>2559</v>
      </c>
      <c r="V162" t="s">
        <v>2560</v>
      </c>
      <c r="W162" t="s">
        <v>2561</v>
      </c>
      <c r="X162" t="s">
        <v>2562</v>
      </c>
      <c r="Y162" t="s">
        <v>2563</v>
      </c>
      <c r="Z162" t="s">
        <v>2564</v>
      </c>
      <c r="AA162" t="s">
        <v>2565</v>
      </c>
      <c r="AB162" t="s">
        <v>2566</v>
      </c>
      <c r="AC162" t="s">
        <v>74</v>
      </c>
      <c r="AD162" t="s">
        <v>74</v>
      </c>
      <c r="AE162" t="s">
        <v>74</v>
      </c>
      <c r="AF162" t="s">
        <v>74</v>
      </c>
      <c r="AG162">
        <v>23</v>
      </c>
      <c r="AH162">
        <v>9</v>
      </c>
      <c r="AI162">
        <v>10</v>
      </c>
      <c r="AJ162">
        <v>0</v>
      </c>
      <c r="AK162">
        <v>5</v>
      </c>
      <c r="AL162" t="s">
        <v>161</v>
      </c>
      <c r="AM162" t="s">
        <v>162</v>
      </c>
      <c r="AN162" t="s">
        <v>163</v>
      </c>
      <c r="AO162" t="s">
        <v>602</v>
      </c>
      <c r="AP162" t="s">
        <v>603</v>
      </c>
      <c r="AQ162" t="s">
        <v>74</v>
      </c>
      <c r="AR162" t="s">
        <v>604</v>
      </c>
      <c r="AS162" t="s">
        <v>605</v>
      </c>
      <c r="AT162" t="s">
        <v>2186</v>
      </c>
      <c r="AU162">
        <v>2002</v>
      </c>
      <c r="AV162">
        <v>29</v>
      </c>
      <c r="AW162">
        <v>9</v>
      </c>
      <c r="AX162" t="s">
        <v>74</v>
      </c>
      <c r="AY162" t="s">
        <v>74</v>
      </c>
      <c r="AZ162" t="s">
        <v>74</v>
      </c>
      <c r="BA162" t="s">
        <v>74</v>
      </c>
      <c r="BB162" t="s">
        <v>74</v>
      </c>
      <c r="BC162" t="s">
        <v>74</v>
      </c>
      <c r="BD162">
        <v>1350</v>
      </c>
      <c r="BE162" t="s">
        <v>2567</v>
      </c>
      <c r="BF162" t="str">
        <f>HYPERLINK("http://dx.doi.org/10.1029/2002GL014681","http://dx.doi.org/10.1029/2002GL014681")</f>
        <v>http://dx.doi.org/10.1029/2002GL014681</v>
      </c>
      <c r="BG162" t="s">
        <v>74</v>
      </c>
      <c r="BH162" t="s">
        <v>74</v>
      </c>
      <c r="BI162">
        <v>4</v>
      </c>
      <c r="BJ162" t="s">
        <v>608</v>
      </c>
      <c r="BK162" t="s">
        <v>170</v>
      </c>
      <c r="BL162" t="s">
        <v>439</v>
      </c>
      <c r="BM162" t="s">
        <v>2555</v>
      </c>
      <c r="BN162" t="s">
        <v>74</v>
      </c>
      <c r="BO162" t="s">
        <v>2052</v>
      </c>
      <c r="BP162" t="s">
        <v>74</v>
      </c>
      <c r="BQ162" t="s">
        <v>74</v>
      </c>
      <c r="BR162" t="s">
        <v>107</v>
      </c>
      <c r="BS162" t="s">
        <v>2568</v>
      </c>
      <c r="BT162" t="str">
        <f>HYPERLINK("https%3A%2F%2Fwww.webofscience.com%2Fwos%2Fwoscc%2Ffull-record%2FWOS:000178888000013","View Full Record in Web of Science")</f>
        <v>View Full Record in Web of Science</v>
      </c>
    </row>
    <row r="163" spans="1:72" x14ac:dyDescent="0.15">
      <c r="A163" t="s">
        <v>72</v>
      </c>
      <c r="B163" t="s">
        <v>2569</v>
      </c>
      <c r="C163" t="s">
        <v>74</v>
      </c>
      <c r="D163" t="s">
        <v>74</v>
      </c>
      <c r="E163" t="s">
        <v>74</v>
      </c>
      <c r="F163" t="s">
        <v>2569</v>
      </c>
      <c r="G163" t="s">
        <v>74</v>
      </c>
      <c r="H163" t="s">
        <v>74</v>
      </c>
      <c r="I163" t="s">
        <v>2570</v>
      </c>
      <c r="J163" t="s">
        <v>594</v>
      </c>
      <c r="K163" t="s">
        <v>74</v>
      </c>
      <c r="L163" t="s">
        <v>74</v>
      </c>
      <c r="M163" t="s">
        <v>77</v>
      </c>
      <c r="N163" t="s">
        <v>153</v>
      </c>
      <c r="O163" t="s">
        <v>74</v>
      </c>
      <c r="P163" t="s">
        <v>74</v>
      </c>
      <c r="Q163" t="s">
        <v>74</v>
      </c>
      <c r="R163" t="s">
        <v>74</v>
      </c>
      <c r="S163" t="s">
        <v>74</v>
      </c>
      <c r="T163" t="s">
        <v>74</v>
      </c>
      <c r="U163" t="s">
        <v>2571</v>
      </c>
      <c r="V163" t="s">
        <v>2572</v>
      </c>
      <c r="W163" t="s">
        <v>2573</v>
      </c>
      <c r="X163" t="s">
        <v>2574</v>
      </c>
      <c r="Y163" t="s">
        <v>2575</v>
      </c>
      <c r="Z163" t="s">
        <v>2576</v>
      </c>
      <c r="AA163" t="s">
        <v>2577</v>
      </c>
      <c r="AB163" t="s">
        <v>2578</v>
      </c>
      <c r="AC163" t="s">
        <v>74</v>
      </c>
      <c r="AD163" t="s">
        <v>74</v>
      </c>
      <c r="AE163" t="s">
        <v>74</v>
      </c>
      <c r="AF163" t="s">
        <v>74</v>
      </c>
      <c r="AG163">
        <v>18</v>
      </c>
      <c r="AH163">
        <v>67</v>
      </c>
      <c r="AI163">
        <v>71</v>
      </c>
      <c r="AJ163">
        <v>0</v>
      </c>
      <c r="AK163">
        <v>0</v>
      </c>
      <c r="AL163" t="s">
        <v>161</v>
      </c>
      <c r="AM163" t="s">
        <v>162</v>
      </c>
      <c r="AN163" t="s">
        <v>163</v>
      </c>
      <c r="AO163" t="s">
        <v>602</v>
      </c>
      <c r="AP163" t="s">
        <v>603</v>
      </c>
      <c r="AQ163" t="s">
        <v>74</v>
      </c>
      <c r="AR163" t="s">
        <v>604</v>
      </c>
      <c r="AS163" t="s">
        <v>605</v>
      </c>
      <c r="AT163" t="s">
        <v>2186</v>
      </c>
      <c r="AU163">
        <v>2002</v>
      </c>
      <c r="AV163">
        <v>29</v>
      </c>
      <c r="AW163">
        <v>9</v>
      </c>
      <c r="AX163" t="s">
        <v>74</v>
      </c>
      <c r="AY163" t="s">
        <v>74</v>
      </c>
      <c r="AZ163" t="s">
        <v>74</v>
      </c>
      <c r="BA163" t="s">
        <v>74</v>
      </c>
      <c r="BB163" t="s">
        <v>74</v>
      </c>
      <c r="BC163" t="s">
        <v>74</v>
      </c>
      <c r="BD163">
        <v>1297</v>
      </c>
      <c r="BE163" t="s">
        <v>2579</v>
      </c>
      <c r="BF163" t="str">
        <f>HYPERLINK("http://dx.doi.org/10.1029/2001GL014291","http://dx.doi.org/10.1029/2001GL014291")</f>
        <v>http://dx.doi.org/10.1029/2001GL014291</v>
      </c>
      <c r="BG163" t="s">
        <v>74</v>
      </c>
      <c r="BH163" t="s">
        <v>74</v>
      </c>
      <c r="BI163">
        <v>4</v>
      </c>
      <c r="BJ163" t="s">
        <v>608</v>
      </c>
      <c r="BK163" t="s">
        <v>170</v>
      </c>
      <c r="BL163" t="s">
        <v>439</v>
      </c>
      <c r="BM163" t="s">
        <v>2555</v>
      </c>
      <c r="BN163" t="s">
        <v>74</v>
      </c>
      <c r="BO163" t="s">
        <v>74</v>
      </c>
      <c r="BP163" t="s">
        <v>74</v>
      </c>
      <c r="BQ163" t="s">
        <v>74</v>
      </c>
      <c r="BR163" t="s">
        <v>107</v>
      </c>
      <c r="BS163" t="s">
        <v>2580</v>
      </c>
      <c r="BT163" t="str">
        <f>HYPERLINK("https%3A%2F%2Fwww.webofscience.com%2Fwos%2Fwoscc%2Ffull-record%2FWOS:000178888000065","View Full Record in Web of Science")</f>
        <v>View Full Record in Web of Science</v>
      </c>
    </row>
    <row r="164" spans="1:72" x14ac:dyDescent="0.15">
      <c r="A164" t="s">
        <v>72</v>
      </c>
      <c r="B164" t="s">
        <v>2581</v>
      </c>
      <c r="C164" t="s">
        <v>74</v>
      </c>
      <c r="D164" t="s">
        <v>74</v>
      </c>
      <c r="E164" t="s">
        <v>74</v>
      </c>
      <c r="F164" t="s">
        <v>2581</v>
      </c>
      <c r="G164" t="s">
        <v>74</v>
      </c>
      <c r="H164" t="s">
        <v>74</v>
      </c>
      <c r="I164" t="s">
        <v>2582</v>
      </c>
      <c r="J164" t="s">
        <v>2583</v>
      </c>
      <c r="K164" t="s">
        <v>74</v>
      </c>
      <c r="L164" t="s">
        <v>74</v>
      </c>
      <c r="M164" t="s">
        <v>77</v>
      </c>
      <c r="N164" t="s">
        <v>153</v>
      </c>
      <c r="O164" t="s">
        <v>74</v>
      </c>
      <c r="P164" t="s">
        <v>74</v>
      </c>
      <c r="Q164" t="s">
        <v>74</v>
      </c>
      <c r="R164" t="s">
        <v>74</v>
      </c>
      <c r="S164" t="s">
        <v>74</v>
      </c>
      <c r="T164" t="s">
        <v>74</v>
      </c>
      <c r="U164" t="s">
        <v>2584</v>
      </c>
      <c r="V164" t="s">
        <v>2585</v>
      </c>
      <c r="W164" t="s">
        <v>2586</v>
      </c>
      <c r="X164" t="s">
        <v>2587</v>
      </c>
      <c r="Y164" t="s">
        <v>2588</v>
      </c>
      <c r="Z164" t="s">
        <v>74</v>
      </c>
      <c r="AA164" t="s">
        <v>2589</v>
      </c>
      <c r="AB164" t="s">
        <v>2590</v>
      </c>
      <c r="AC164" t="s">
        <v>74</v>
      </c>
      <c r="AD164" t="s">
        <v>74</v>
      </c>
      <c r="AE164" t="s">
        <v>74</v>
      </c>
      <c r="AF164" t="s">
        <v>74</v>
      </c>
      <c r="AG164">
        <v>6</v>
      </c>
      <c r="AH164">
        <v>2</v>
      </c>
      <c r="AI164">
        <v>2</v>
      </c>
      <c r="AJ164">
        <v>0</v>
      </c>
      <c r="AK164">
        <v>1</v>
      </c>
      <c r="AL164" t="s">
        <v>1044</v>
      </c>
      <c r="AM164" t="s">
        <v>1045</v>
      </c>
      <c r="AN164" t="s">
        <v>1046</v>
      </c>
      <c r="AO164" t="s">
        <v>2591</v>
      </c>
      <c r="AP164" t="s">
        <v>74</v>
      </c>
      <c r="AQ164" t="s">
        <v>74</v>
      </c>
      <c r="AR164" t="s">
        <v>2583</v>
      </c>
      <c r="AS164" t="s">
        <v>2592</v>
      </c>
      <c r="AT164" t="s">
        <v>2208</v>
      </c>
      <c r="AU164">
        <v>2002</v>
      </c>
      <c r="AV164">
        <v>157</v>
      </c>
      <c r="AW164">
        <v>1</v>
      </c>
      <c r="AX164" t="s">
        <v>74</v>
      </c>
      <c r="AY164" t="s">
        <v>74</v>
      </c>
      <c r="AZ164" t="s">
        <v>74</v>
      </c>
      <c r="BA164" t="s">
        <v>74</v>
      </c>
      <c r="BB164">
        <v>264</v>
      </c>
      <c r="BC164">
        <v>267</v>
      </c>
      <c r="BD164" t="s">
        <v>74</v>
      </c>
      <c r="BE164" t="s">
        <v>2593</v>
      </c>
      <c r="BF164" t="str">
        <f>HYPERLINK("http://dx.doi.org/10.1006/icar.2001.6803","http://dx.doi.org/10.1006/icar.2001.6803")</f>
        <v>http://dx.doi.org/10.1006/icar.2001.6803</v>
      </c>
      <c r="BG164" t="s">
        <v>74</v>
      </c>
      <c r="BH164" t="s">
        <v>74</v>
      </c>
      <c r="BI164">
        <v>4</v>
      </c>
      <c r="BJ164" t="s">
        <v>1856</v>
      </c>
      <c r="BK164" t="s">
        <v>170</v>
      </c>
      <c r="BL164" t="s">
        <v>1856</v>
      </c>
      <c r="BM164" t="s">
        <v>2594</v>
      </c>
      <c r="BN164" t="s">
        <v>74</v>
      </c>
      <c r="BO164" t="s">
        <v>74</v>
      </c>
      <c r="BP164" t="s">
        <v>74</v>
      </c>
      <c r="BQ164" t="s">
        <v>74</v>
      </c>
      <c r="BR164" t="s">
        <v>107</v>
      </c>
      <c r="BS164" t="s">
        <v>2595</v>
      </c>
      <c r="BT164" t="str">
        <f>HYPERLINK("https%3A%2F%2Fwww.webofscience.com%2Fwos%2Fwoscc%2Ffull-record%2FWOS:000175929000023","View Full Record in Web of Science")</f>
        <v>View Full Record in Web of Science</v>
      </c>
    </row>
    <row r="165" spans="1:72" x14ac:dyDescent="0.15">
      <c r="A165" t="s">
        <v>72</v>
      </c>
      <c r="B165" t="s">
        <v>2596</v>
      </c>
      <c r="C165" t="s">
        <v>74</v>
      </c>
      <c r="D165" t="s">
        <v>74</v>
      </c>
      <c r="E165" t="s">
        <v>74</v>
      </c>
      <c r="F165" t="s">
        <v>2596</v>
      </c>
      <c r="G165" t="s">
        <v>74</v>
      </c>
      <c r="H165" t="s">
        <v>74</v>
      </c>
      <c r="I165" t="s">
        <v>2597</v>
      </c>
      <c r="J165" t="s">
        <v>2598</v>
      </c>
      <c r="K165" t="s">
        <v>74</v>
      </c>
      <c r="L165" t="s">
        <v>74</v>
      </c>
      <c r="M165" t="s">
        <v>77</v>
      </c>
      <c r="N165" t="s">
        <v>153</v>
      </c>
      <c r="O165" t="s">
        <v>74</v>
      </c>
      <c r="P165" t="s">
        <v>74</v>
      </c>
      <c r="Q165" t="s">
        <v>74</v>
      </c>
      <c r="R165" t="s">
        <v>74</v>
      </c>
      <c r="S165" t="s">
        <v>74</v>
      </c>
      <c r="T165" t="s">
        <v>2599</v>
      </c>
      <c r="U165" t="s">
        <v>2600</v>
      </c>
      <c r="V165" t="s">
        <v>2601</v>
      </c>
      <c r="W165" t="s">
        <v>2602</v>
      </c>
      <c r="X165" t="s">
        <v>2603</v>
      </c>
      <c r="Y165" t="s">
        <v>2604</v>
      </c>
      <c r="Z165" t="s">
        <v>2605</v>
      </c>
      <c r="AA165" t="s">
        <v>74</v>
      </c>
      <c r="AB165" t="s">
        <v>2606</v>
      </c>
      <c r="AC165" t="s">
        <v>74</v>
      </c>
      <c r="AD165" t="s">
        <v>74</v>
      </c>
      <c r="AE165" t="s">
        <v>74</v>
      </c>
      <c r="AF165" t="s">
        <v>74</v>
      </c>
      <c r="AG165">
        <v>37</v>
      </c>
      <c r="AH165">
        <v>74</v>
      </c>
      <c r="AI165">
        <v>80</v>
      </c>
      <c r="AJ165">
        <v>0</v>
      </c>
      <c r="AK165">
        <v>6</v>
      </c>
      <c r="AL165" t="s">
        <v>2607</v>
      </c>
      <c r="AM165" t="s">
        <v>1127</v>
      </c>
      <c r="AN165" t="s">
        <v>2608</v>
      </c>
      <c r="AO165" t="s">
        <v>2609</v>
      </c>
      <c r="AP165" t="s">
        <v>2610</v>
      </c>
      <c r="AQ165" t="s">
        <v>74</v>
      </c>
      <c r="AR165" t="s">
        <v>2611</v>
      </c>
      <c r="AS165" t="s">
        <v>2612</v>
      </c>
      <c r="AT165" t="s">
        <v>2208</v>
      </c>
      <c r="AU165">
        <v>2002</v>
      </c>
      <c r="AV165">
        <v>52</v>
      </c>
      <c r="AW165" t="s">
        <v>74</v>
      </c>
      <c r="AX165">
        <v>3</v>
      </c>
      <c r="AY165" t="s">
        <v>74</v>
      </c>
      <c r="AZ165" t="s">
        <v>74</v>
      </c>
      <c r="BA165" t="s">
        <v>74</v>
      </c>
      <c r="BB165">
        <v>1017</v>
      </c>
      <c r="BC165">
        <v>1021</v>
      </c>
      <c r="BD165" t="s">
        <v>74</v>
      </c>
      <c r="BE165" t="s">
        <v>2613</v>
      </c>
      <c r="BF165" t="str">
        <f>HYPERLINK("http://dx.doi.org/10.1099/ijs.0.02131-0","http://dx.doi.org/10.1099/ijs.0.02131-0")</f>
        <v>http://dx.doi.org/10.1099/ijs.0.02131-0</v>
      </c>
      <c r="BG165" t="s">
        <v>74</v>
      </c>
      <c r="BH165" t="s">
        <v>74</v>
      </c>
      <c r="BI165">
        <v>5</v>
      </c>
      <c r="BJ165" t="s">
        <v>1134</v>
      </c>
      <c r="BK165" t="s">
        <v>170</v>
      </c>
      <c r="BL165" t="s">
        <v>1134</v>
      </c>
      <c r="BM165" t="s">
        <v>2614</v>
      </c>
      <c r="BN165">
        <v>12054218</v>
      </c>
      <c r="BO165" t="s">
        <v>74</v>
      </c>
      <c r="BP165" t="s">
        <v>74</v>
      </c>
      <c r="BQ165" t="s">
        <v>74</v>
      </c>
      <c r="BR165" t="s">
        <v>107</v>
      </c>
      <c r="BS165" t="s">
        <v>2615</v>
      </c>
      <c r="BT165" t="str">
        <f>HYPERLINK("https%3A%2F%2Fwww.webofscience.com%2Fwos%2Fwoscc%2Ffull-record%2FWOS:000175824100046","View Full Record in Web of Science")</f>
        <v>View Full Record in Web of Science</v>
      </c>
    </row>
    <row r="166" spans="1:72" x14ac:dyDescent="0.15">
      <c r="A166" t="s">
        <v>72</v>
      </c>
      <c r="B166" t="s">
        <v>1039</v>
      </c>
      <c r="C166" t="s">
        <v>74</v>
      </c>
      <c r="D166" t="s">
        <v>74</v>
      </c>
      <c r="E166" t="s">
        <v>74</v>
      </c>
      <c r="F166" t="s">
        <v>1039</v>
      </c>
      <c r="G166" t="s">
        <v>74</v>
      </c>
      <c r="H166" t="s">
        <v>74</v>
      </c>
      <c r="I166" t="s">
        <v>2616</v>
      </c>
      <c r="J166" t="s">
        <v>2617</v>
      </c>
      <c r="K166" t="s">
        <v>74</v>
      </c>
      <c r="L166" t="s">
        <v>74</v>
      </c>
      <c r="M166" t="s">
        <v>77</v>
      </c>
      <c r="N166" t="s">
        <v>153</v>
      </c>
      <c r="O166" t="s">
        <v>74</v>
      </c>
      <c r="P166" t="s">
        <v>74</v>
      </c>
      <c r="Q166" t="s">
        <v>74</v>
      </c>
      <c r="R166" t="s">
        <v>74</v>
      </c>
      <c r="S166" t="s">
        <v>74</v>
      </c>
      <c r="T166" t="s">
        <v>2618</v>
      </c>
      <c r="U166" t="s">
        <v>2619</v>
      </c>
      <c r="V166" t="s">
        <v>2620</v>
      </c>
      <c r="W166" t="s">
        <v>2621</v>
      </c>
      <c r="X166" t="s">
        <v>1043</v>
      </c>
      <c r="Y166" t="s">
        <v>2622</v>
      </c>
      <c r="Z166" t="s">
        <v>74</v>
      </c>
      <c r="AA166" t="s">
        <v>74</v>
      </c>
      <c r="AB166" t="s">
        <v>2623</v>
      </c>
      <c r="AC166" t="s">
        <v>74</v>
      </c>
      <c r="AD166" t="s">
        <v>74</v>
      </c>
      <c r="AE166" t="s">
        <v>74</v>
      </c>
      <c r="AF166" t="s">
        <v>74</v>
      </c>
      <c r="AG166">
        <v>10</v>
      </c>
      <c r="AH166">
        <v>30</v>
      </c>
      <c r="AI166">
        <v>31</v>
      </c>
      <c r="AJ166">
        <v>0</v>
      </c>
      <c r="AK166">
        <v>3</v>
      </c>
      <c r="AL166" t="s">
        <v>2624</v>
      </c>
      <c r="AM166" t="s">
        <v>2625</v>
      </c>
      <c r="AN166" t="s">
        <v>2626</v>
      </c>
      <c r="AO166" t="s">
        <v>2627</v>
      </c>
      <c r="AP166" t="s">
        <v>74</v>
      </c>
      <c r="AQ166" t="s">
        <v>74</v>
      </c>
      <c r="AR166" t="s">
        <v>2628</v>
      </c>
      <c r="AS166" t="s">
        <v>2629</v>
      </c>
      <c r="AT166" t="s">
        <v>2208</v>
      </c>
      <c r="AU166">
        <v>2002</v>
      </c>
      <c r="AV166">
        <v>109</v>
      </c>
      <c r="AW166">
        <v>5</v>
      </c>
      <c r="AX166" t="s">
        <v>74</v>
      </c>
      <c r="AY166" t="s">
        <v>74</v>
      </c>
      <c r="AZ166" t="s">
        <v>74</v>
      </c>
      <c r="BA166" t="s">
        <v>74</v>
      </c>
      <c r="BB166">
        <v>854</v>
      </c>
      <c r="BC166">
        <v>857</v>
      </c>
      <c r="BD166" t="s">
        <v>74</v>
      </c>
      <c r="BE166" t="s">
        <v>2630</v>
      </c>
      <c r="BF166" t="str">
        <f>HYPERLINK("http://dx.doi.org/10.1067/mai.2002.123873","http://dx.doi.org/10.1067/mai.2002.123873")</f>
        <v>http://dx.doi.org/10.1067/mai.2002.123873</v>
      </c>
      <c r="BG166" t="s">
        <v>74</v>
      </c>
      <c r="BH166" t="s">
        <v>74</v>
      </c>
      <c r="BI166">
        <v>4</v>
      </c>
      <c r="BJ166" t="s">
        <v>2631</v>
      </c>
      <c r="BK166" t="s">
        <v>170</v>
      </c>
      <c r="BL166" t="s">
        <v>2631</v>
      </c>
      <c r="BM166" t="s">
        <v>2632</v>
      </c>
      <c r="BN166">
        <v>11994711</v>
      </c>
      <c r="BO166" t="s">
        <v>173</v>
      </c>
      <c r="BP166" t="s">
        <v>74</v>
      </c>
      <c r="BQ166" t="s">
        <v>74</v>
      </c>
      <c r="BR166" t="s">
        <v>107</v>
      </c>
      <c r="BS166" t="s">
        <v>2633</v>
      </c>
      <c r="BT166" t="str">
        <f>HYPERLINK("https%3A%2F%2Fwww.webofscience.com%2Fwos%2Fwoscc%2Ffull-record%2FWOS:000175687800017","View Full Record in Web of Science")</f>
        <v>View Full Record in Web of Science</v>
      </c>
    </row>
    <row r="167" spans="1:72" x14ac:dyDescent="0.15">
      <c r="A167" t="s">
        <v>72</v>
      </c>
      <c r="B167" t="s">
        <v>2634</v>
      </c>
      <c r="C167" t="s">
        <v>74</v>
      </c>
      <c r="D167" t="s">
        <v>74</v>
      </c>
      <c r="E167" t="s">
        <v>74</v>
      </c>
      <c r="F167" t="s">
        <v>2634</v>
      </c>
      <c r="G167" t="s">
        <v>74</v>
      </c>
      <c r="H167" t="s">
        <v>74</v>
      </c>
      <c r="I167" t="s">
        <v>2635</v>
      </c>
      <c r="J167" t="s">
        <v>2636</v>
      </c>
      <c r="K167" t="s">
        <v>74</v>
      </c>
      <c r="L167" t="s">
        <v>74</v>
      </c>
      <c r="M167" t="s">
        <v>77</v>
      </c>
      <c r="N167" t="s">
        <v>78</v>
      </c>
      <c r="O167" t="s">
        <v>2637</v>
      </c>
      <c r="P167" t="s">
        <v>2638</v>
      </c>
      <c r="Q167" t="s">
        <v>2639</v>
      </c>
      <c r="R167" t="s">
        <v>74</v>
      </c>
      <c r="S167" t="s">
        <v>2640</v>
      </c>
      <c r="T167" t="s">
        <v>2641</v>
      </c>
      <c r="U167" t="s">
        <v>2642</v>
      </c>
      <c r="V167" t="s">
        <v>2643</v>
      </c>
      <c r="W167" t="s">
        <v>2644</v>
      </c>
      <c r="X167" t="s">
        <v>2645</v>
      </c>
      <c r="Y167" t="s">
        <v>2646</v>
      </c>
      <c r="Z167" t="s">
        <v>2647</v>
      </c>
      <c r="AA167" t="s">
        <v>2648</v>
      </c>
      <c r="AB167" t="s">
        <v>2649</v>
      </c>
      <c r="AC167" t="s">
        <v>74</v>
      </c>
      <c r="AD167" t="s">
        <v>74</v>
      </c>
      <c r="AE167" t="s">
        <v>74</v>
      </c>
      <c r="AF167" t="s">
        <v>74</v>
      </c>
      <c r="AG167">
        <v>74</v>
      </c>
      <c r="AH167">
        <v>60</v>
      </c>
      <c r="AI167">
        <v>66</v>
      </c>
      <c r="AJ167">
        <v>0</v>
      </c>
      <c r="AK167">
        <v>4</v>
      </c>
      <c r="AL167" t="s">
        <v>1013</v>
      </c>
      <c r="AM167" t="s">
        <v>895</v>
      </c>
      <c r="AN167" t="s">
        <v>1014</v>
      </c>
      <c r="AO167" t="s">
        <v>2650</v>
      </c>
      <c r="AP167" t="s">
        <v>2651</v>
      </c>
      <c r="AQ167" t="s">
        <v>74</v>
      </c>
      <c r="AR167" t="s">
        <v>2652</v>
      </c>
      <c r="AS167" t="s">
        <v>2653</v>
      </c>
      <c r="AT167" t="s">
        <v>2654</v>
      </c>
      <c r="AU167">
        <v>2002</v>
      </c>
      <c r="AV167">
        <v>64</v>
      </c>
      <c r="AW167" t="s">
        <v>2655</v>
      </c>
      <c r="AX167" t="s">
        <v>74</v>
      </c>
      <c r="AY167" t="s">
        <v>74</v>
      </c>
      <c r="AZ167" t="s">
        <v>74</v>
      </c>
      <c r="BA167" t="s">
        <v>74</v>
      </c>
      <c r="BB167">
        <v>1011</v>
      </c>
      <c r="BC167">
        <v>1035</v>
      </c>
      <c r="BD167" t="s">
        <v>2656</v>
      </c>
      <c r="BE167" t="s">
        <v>2657</v>
      </c>
      <c r="BF167" t="str">
        <f>HYPERLINK("http://dx.doi.org/10.1016/S1364-6826(02)00054-8","http://dx.doi.org/10.1016/S1364-6826(02)00054-8")</f>
        <v>http://dx.doi.org/10.1016/S1364-6826(02)00054-8</v>
      </c>
      <c r="BG167" t="s">
        <v>74</v>
      </c>
      <c r="BH167" t="s">
        <v>74</v>
      </c>
      <c r="BI167">
        <v>25</v>
      </c>
      <c r="BJ167" t="s">
        <v>2658</v>
      </c>
      <c r="BK167" t="s">
        <v>103</v>
      </c>
      <c r="BL167" t="s">
        <v>2658</v>
      </c>
      <c r="BM167" t="s">
        <v>2659</v>
      </c>
      <c r="BN167" t="s">
        <v>74</v>
      </c>
      <c r="BO167" t="s">
        <v>74</v>
      </c>
      <c r="BP167" t="s">
        <v>74</v>
      </c>
      <c r="BQ167" t="s">
        <v>74</v>
      </c>
      <c r="BR167" t="s">
        <v>107</v>
      </c>
      <c r="BS167" t="s">
        <v>2660</v>
      </c>
      <c r="BT167" t="str">
        <f>HYPERLINK("https%3A%2F%2Fwww.webofscience.com%2Fwos%2Fwoscc%2Ffull-record%2FWOS:000176748800014","View Full Record in Web of Science")</f>
        <v>View Full Record in Web of Science</v>
      </c>
    </row>
    <row r="168" spans="1:72" x14ac:dyDescent="0.15">
      <c r="A168" t="s">
        <v>72</v>
      </c>
      <c r="B168" t="s">
        <v>2661</v>
      </c>
      <c r="C168" t="s">
        <v>74</v>
      </c>
      <c r="D168" t="s">
        <v>74</v>
      </c>
      <c r="E168" t="s">
        <v>74</v>
      </c>
      <c r="F168" t="s">
        <v>2661</v>
      </c>
      <c r="G168" t="s">
        <v>74</v>
      </c>
      <c r="H168" t="s">
        <v>74</v>
      </c>
      <c r="I168" t="s">
        <v>2662</v>
      </c>
      <c r="J168" t="s">
        <v>2636</v>
      </c>
      <c r="K168" t="s">
        <v>74</v>
      </c>
      <c r="L168" t="s">
        <v>74</v>
      </c>
      <c r="M168" t="s">
        <v>77</v>
      </c>
      <c r="N168" t="s">
        <v>78</v>
      </c>
      <c r="O168" t="s">
        <v>2637</v>
      </c>
      <c r="P168" t="s">
        <v>2638</v>
      </c>
      <c r="Q168" t="s">
        <v>2639</v>
      </c>
      <c r="R168" t="s">
        <v>74</v>
      </c>
      <c r="S168" t="s">
        <v>2640</v>
      </c>
      <c r="T168" t="s">
        <v>2663</v>
      </c>
      <c r="U168" t="s">
        <v>2664</v>
      </c>
      <c r="V168" t="s">
        <v>2665</v>
      </c>
      <c r="W168" t="s">
        <v>1950</v>
      </c>
      <c r="X168" t="s">
        <v>1951</v>
      </c>
      <c r="Y168" t="s">
        <v>2666</v>
      </c>
      <c r="Z168" t="s">
        <v>74</v>
      </c>
      <c r="AA168" t="s">
        <v>74</v>
      </c>
      <c r="AB168" t="s">
        <v>74</v>
      </c>
      <c r="AC168" t="s">
        <v>74</v>
      </c>
      <c r="AD168" t="s">
        <v>74</v>
      </c>
      <c r="AE168" t="s">
        <v>74</v>
      </c>
      <c r="AF168" t="s">
        <v>74</v>
      </c>
      <c r="AG168">
        <v>7</v>
      </c>
      <c r="AH168">
        <v>13</v>
      </c>
      <c r="AI168">
        <v>15</v>
      </c>
      <c r="AJ168">
        <v>0</v>
      </c>
      <c r="AK168">
        <v>2</v>
      </c>
      <c r="AL168" t="s">
        <v>1013</v>
      </c>
      <c r="AM168" t="s">
        <v>895</v>
      </c>
      <c r="AN168" t="s">
        <v>1014</v>
      </c>
      <c r="AO168" t="s">
        <v>2650</v>
      </c>
      <c r="AP168" t="s">
        <v>74</v>
      </c>
      <c r="AQ168" t="s">
        <v>74</v>
      </c>
      <c r="AR168" t="s">
        <v>2652</v>
      </c>
      <c r="AS168" t="s">
        <v>2653</v>
      </c>
      <c r="AT168" t="s">
        <v>2654</v>
      </c>
      <c r="AU168">
        <v>2002</v>
      </c>
      <c r="AV168">
        <v>64</v>
      </c>
      <c r="AW168" t="s">
        <v>2655</v>
      </c>
      <c r="AX168" t="s">
        <v>74</v>
      </c>
      <c r="AY168" t="s">
        <v>74</v>
      </c>
      <c r="AZ168" t="s">
        <v>74</v>
      </c>
      <c r="BA168" t="s">
        <v>74</v>
      </c>
      <c r="BB168">
        <v>1069</v>
      </c>
      <c r="BC168">
        <v>1081</v>
      </c>
      <c r="BD168" t="s">
        <v>2667</v>
      </c>
      <c r="BE168" t="s">
        <v>2668</v>
      </c>
      <c r="BF168" t="str">
        <f>HYPERLINK("http://dx.doi.org/10.1016/S1364-6826(02)00058-5","http://dx.doi.org/10.1016/S1364-6826(02)00058-5")</f>
        <v>http://dx.doi.org/10.1016/S1364-6826(02)00058-5</v>
      </c>
      <c r="BG168" t="s">
        <v>74</v>
      </c>
      <c r="BH168" t="s">
        <v>74</v>
      </c>
      <c r="BI168">
        <v>13</v>
      </c>
      <c r="BJ168" t="s">
        <v>2658</v>
      </c>
      <c r="BK168" t="s">
        <v>744</v>
      </c>
      <c r="BL168" t="s">
        <v>2658</v>
      </c>
      <c r="BM168" t="s">
        <v>2659</v>
      </c>
      <c r="BN168" t="s">
        <v>74</v>
      </c>
      <c r="BO168" t="s">
        <v>74</v>
      </c>
      <c r="BP168" t="s">
        <v>74</v>
      </c>
      <c r="BQ168" t="s">
        <v>74</v>
      </c>
      <c r="BR168" t="s">
        <v>107</v>
      </c>
      <c r="BS168" t="s">
        <v>2669</v>
      </c>
      <c r="BT168" t="str">
        <f>HYPERLINK("https%3A%2F%2Fwww.webofscience.com%2Fwos%2Fwoscc%2Ffull-record%2FWOS:000176748800017","View Full Record in Web of Science")</f>
        <v>View Full Record in Web of Science</v>
      </c>
    </row>
    <row r="169" spans="1:72" x14ac:dyDescent="0.15">
      <c r="A169" t="s">
        <v>72</v>
      </c>
      <c r="B169" t="s">
        <v>2670</v>
      </c>
      <c r="C169" t="s">
        <v>74</v>
      </c>
      <c r="D169" t="s">
        <v>74</v>
      </c>
      <c r="E169" t="s">
        <v>74</v>
      </c>
      <c r="F169" t="s">
        <v>2670</v>
      </c>
      <c r="G169" t="s">
        <v>74</v>
      </c>
      <c r="H169" t="s">
        <v>74</v>
      </c>
      <c r="I169" t="s">
        <v>2671</v>
      </c>
      <c r="J169" t="s">
        <v>2636</v>
      </c>
      <c r="K169" t="s">
        <v>74</v>
      </c>
      <c r="L169" t="s">
        <v>74</v>
      </c>
      <c r="M169" t="s">
        <v>77</v>
      </c>
      <c r="N169" t="s">
        <v>78</v>
      </c>
      <c r="O169" t="s">
        <v>2637</v>
      </c>
      <c r="P169" t="s">
        <v>2638</v>
      </c>
      <c r="Q169" t="s">
        <v>2639</v>
      </c>
      <c r="R169" t="s">
        <v>74</v>
      </c>
      <c r="S169" t="s">
        <v>2640</v>
      </c>
      <c r="T169" t="s">
        <v>2672</v>
      </c>
      <c r="U169" t="s">
        <v>2673</v>
      </c>
      <c r="V169" t="s">
        <v>2674</v>
      </c>
      <c r="W169" t="s">
        <v>2675</v>
      </c>
      <c r="X169" t="s">
        <v>2676</v>
      </c>
      <c r="Y169" t="s">
        <v>2677</v>
      </c>
      <c r="Z169" t="s">
        <v>74</v>
      </c>
      <c r="AA169" t="s">
        <v>74</v>
      </c>
      <c r="AB169" t="s">
        <v>74</v>
      </c>
      <c r="AC169" t="s">
        <v>74</v>
      </c>
      <c r="AD169" t="s">
        <v>74</v>
      </c>
      <c r="AE169" t="s">
        <v>74</v>
      </c>
      <c r="AF169" t="s">
        <v>74</v>
      </c>
      <c r="AG169">
        <v>32</v>
      </c>
      <c r="AH169">
        <v>14</v>
      </c>
      <c r="AI169">
        <v>14</v>
      </c>
      <c r="AJ169">
        <v>0</v>
      </c>
      <c r="AK169">
        <v>3</v>
      </c>
      <c r="AL169" t="s">
        <v>1013</v>
      </c>
      <c r="AM169" t="s">
        <v>895</v>
      </c>
      <c r="AN169" t="s">
        <v>1014</v>
      </c>
      <c r="AO169" t="s">
        <v>2650</v>
      </c>
      <c r="AP169" t="s">
        <v>74</v>
      </c>
      <c r="AQ169" t="s">
        <v>74</v>
      </c>
      <c r="AR169" t="s">
        <v>2652</v>
      </c>
      <c r="AS169" t="s">
        <v>2653</v>
      </c>
      <c r="AT169" t="s">
        <v>2654</v>
      </c>
      <c r="AU169">
        <v>2002</v>
      </c>
      <c r="AV169">
        <v>64</v>
      </c>
      <c r="AW169" t="s">
        <v>2655</v>
      </c>
      <c r="AX169" t="s">
        <v>74</v>
      </c>
      <c r="AY169" t="s">
        <v>74</v>
      </c>
      <c r="AZ169" t="s">
        <v>74</v>
      </c>
      <c r="BA169" t="s">
        <v>74</v>
      </c>
      <c r="BB169">
        <v>1131</v>
      </c>
      <c r="BC169">
        <v>1146</v>
      </c>
      <c r="BD169" t="s">
        <v>2678</v>
      </c>
      <c r="BE169" t="s">
        <v>2679</v>
      </c>
      <c r="BF169" t="str">
        <f>HYPERLINK("http://dx.doi.org/10.1016/S1364-6826(02)00064-0","http://dx.doi.org/10.1016/S1364-6826(02)00064-0")</f>
        <v>http://dx.doi.org/10.1016/S1364-6826(02)00064-0</v>
      </c>
      <c r="BG169" t="s">
        <v>74</v>
      </c>
      <c r="BH169" t="s">
        <v>74</v>
      </c>
      <c r="BI169">
        <v>16</v>
      </c>
      <c r="BJ169" t="s">
        <v>2658</v>
      </c>
      <c r="BK169" t="s">
        <v>744</v>
      </c>
      <c r="BL169" t="s">
        <v>2658</v>
      </c>
      <c r="BM169" t="s">
        <v>2659</v>
      </c>
      <c r="BN169" t="s">
        <v>74</v>
      </c>
      <c r="BO169" t="s">
        <v>74</v>
      </c>
      <c r="BP169" t="s">
        <v>74</v>
      </c>
      <c r="BQ169" t="s">
        <v>74</v>
      </c>
      <c r="BR169" t="s">
        <v>107</v>
      </c>
      <c r="BS169" t="s">
        <v>2680</v>
      </c>
      <c r="BT169" t="str">
        <f>HYPERLINK("https%3A%2F%2Fwww.webofscience.com%2Fwos%2Fwoscc%2Ffull-record%2FWOS:000176748800023","View Full Record in Web of Science")</f>
        <v>View Full Record in Web of Science</v>
      </c>
    </row>
    <row r="170" spans="1:72" x14ac:dyDescent="0.15">
      <c r="A170" t="s">
        <v>72</v>
      </c>
      <c r="B170" t="s">
        <v>2681</v>
      </c>
      <c r="C170" t="s">
        <v>74</v>
      </c>
      <c r="D170" t="s">
        <v>74</v>
      </c>
      <c r="E170" t="s">
        <v>74</v>
      </c>
      <c r="F170" t="s">
        <v>2681</v>
      </c>
      <c r="G170" t="s">
        <v>74</v>
      </c>
      <c r="H170" t="s">
        <v>74</v>
      </c>
      <c r="I170" t="s">
        <v>2682</v>
      </c>
      <c r="J170" t="s">
        <v>2636</v>
      </c>
      <c r="K170" t="s">
        <v>74</v>
      </c>
      <c r="L170" t="s">
        <v>74</v>
      </c>
      <c r="M170" t="s">
        <v>77</v>
      </c>
      <c r="N170" t="s">
        <v>78</v>
      </c>
      <c r="O170" t="s">
        <v>2637</v>
      </c>
      <c r="P170" t="s">
        <v>2638</v>
      </c>
      <c r="Q170" t="s">
        <v>2639</v>
      </c>
      <c r="R170" t="s">
        <v>74</v>
      </c>
      <c r="S170" t="s">
        <v>2640</v>
      </c>
      <c r="T170" t="s">
        <v>2683</v>
      </c>
      <c r="U170" t="s">
        <v>2684</v>
      </c>
      <c r="V170" t="s">
        <v>2685</v>
      </c>
      <c r="W170" t="s">
        <v>2686</v>
      </c>
      <c r="X170" t="s">
        <v>798</v>
      </c>
      <c r="Y170" t="s">
        <v>2687</v>
      </c>
      <c r="Z170" t="s">
        <v>74</v>
      </c>
      <c r="AA170" t="s">
        <v>74</v>
      </c>
      <c r="AB170" t="s">
        <v>2688</v>
      </c>
      <c r="AC170" t="s">
        <v>74</v>
      </c>
      <c r="AD170" t="s">
        <v>74</v>
      </c>
      <c r="AE170" t="s">
        <v>74</v>
      </c>
      <c r="AF170" t="s">
        <v>74</v>
      </c>
      <c r="AG170">
        <v>30</v>
      </c>
      <c r="AH170">
        <v>30</v>
      </c>
      <c r="AI170">
        <v>32</v>
      </c>
      <c r="AJ170">
        <v>0</v>
      </c>
      <c r="AK170">
        <v>1</v>
      </c>
      <c r="AL170" t="s">
        <v>1013</v>
      </c>
      <c r="AM170" t="s">
        <v>895</v>
      </c>
      <c r="AN170" t="s">
        <v>1014</v>
      </c>
      <c r="AO170" t="s">
        <v>2650</v>
      </c>
      <c r="AP170" t="s">
        <v>74</v>
      </c>
      <c r="AQ170" t="s">
        <v>74</v>
      </c>
      <c r="AR170" t="s">
        <v>2652</v>
      </c>
      <c r="AS170" t="s">
        <v>2653</v>
      </c>
      <c r="AT170" t="s">
        <v>2654</v>
      </c>
      <c r="AU170">
        <v>2002</v>
      </c>
      <c r="AV170">
        <v>64</v>
      </c>
      <c r="AW170" t="s">
        <v>2655</v>
      </c>
      <c r="AX170" t="s">
        <v>74</v>
      </c>
      <c r="AY170" t="s">
        <v>74</v>
      </c>
      <c r="AZ170" t="s">
        <v>74</v>
      </c>
      <c r="BA170" t="s">
        <v>74</v>
      </c>
      <c r="BB170">
        <v>1167</v>
      </c>
      <c r="BC170">
        <v>1174</v>
      </c>
      <c r="BD170" t="s">
        <v>2689</v>
      </c>
      <c r="BE170" t="s">
        <v>2690</v>
      </c>
      <c r="BF170" t="str">
        <f>HYPERLINK("http://dx.doi.org/10.1016/S1364-6826(02)00066-4","http://dx.doi.org/10.1016/S1364-6826(02)00066-4")</f>
        <v>http://dx.doi.org/10.1016/S1364-6826(02)00066-4</v>
      </c>
      <c r="BG170" t="s">
        <v>74</v>
      </c>
      <c r="BH170" t="s">
        <v>74</v>
      </c>
      <c r="BI170">
        <v>8</v>
      </c>
      <c r="BJ170" t="s">
        <v>2658</v>
      </c>
      <c r="BK170" t="s">
        <v>744</v>
      </c>
      <c r="BL170" t="s">
        <v>2658</v>
      </c>
      <c r="BM170" t="s">
        <v>2659</v>
      </c>
      <c r="BN170" t="s">
        <v>74</v>
      </c>
      <c r="BO170" t="s">
        <v>74</v>
      </c>
      <c r="BP170" t="s">
        <v>74</v>
      </c>
      <c r="BQ170" t="s">
        <v>74</v>
      </c>
      <c r="BR170" t="s">
        <v>107</v>
      </c>
      <c r="BS170" t="s">
        <v>2691</v>
      </c>
      <c r="BT170" t="str">
        <f>HYPERLINK("https%3A%2F%2Fwww.webofscience.com%2Fwos%2Fwoscc%2Ffull-record%2FWOS:000176748800025","View Full Record in Web of Science")</f>
        <v>View Full Record in Web of Science</v>
      </c>
    </row>
    <row r="171" spans="1:72" x14ac:dyDescent="0.15">
      <c r="A171" t="s">
        <v>72</v>
      </c>
      <c r="B171" t="s">
        <v>2692</v>
      </c>
      <c r="C171" t="s">
        <v>74</v>
      </c>
      <c r="D171" t="s">
        <v>74</v>
      </c>
      <c r="E171" t="s">
        <v>74</v>
      </c>
      <c r="F171" t="s">
        <v>2692</v>
      </c>
      <c r="G171" t="s">
        <v>74</v>
      </c>
      <c r="H171" t="s">
        <v>74</v>
      </c>
      <c r="I171" t="s">
        <v>2693</v>
      </c>
      <c r="J171" t="s">
        <v>2636</v>
      </c>
      <c r="K171" t="s">
        <v>74</v>
      </c>
      <c r="L171" t="s">
        <v>74</v>
      </c>
      <c r="M171" t="s">
        <v>77</v>
      </c>
      <c r="N171" t="s">
        <v>78</v>
      </c>
      <c r="O171" t="s">
        <v>2637</v>
      </c>
      <c r="P171" t="s">
        <v>2638</v>
      </c>
      <c r="Q171" t="s">
        <v>2639</v>
      </c>
      <c r="R171" t="s">
        <v>74</v>
      </c>
      <c r="S171" t="s">
        <v>2640</v>
      </c>
      <c r="T171" t="s">
        <v>2694</v>
      </c>
      <c r="U171" t="s">
        <v>2695</v>
      </c>
      <c r="V171" t="s">
        <v>2696</v>
      </c>
      <c r="W171" t="s">
        <v>2697</v>
      </c>
      <c r="X171" t="s">
        <v>2698</v>
      </c>
      <c r="Y171" t="s">
        <v>2699</v>
      </c>
      <c r="Z171" t="s">
        <v>74</v>
      </c>
      <c r="AA171" t="s">
        <v>2700</v>
      </c>
      <c r="AB171" t="s">
        <v>2701</v>
      </c>
      <c r="AC171" t="s">
        <v>74</v>
      </c>
      <c r="AD171" t="s">
        <v>74</v>
      </c>
      <c r="AE171" t="s">
        <v>74</v>
      </c>
      <c r="AF171" t="s">
        <v>74</v>
      </c>
      <c r="AG171">
        <v>39</v>
      </c>
      <c r="AH171">
        <v>28</v>
      </c>
      <c r="AI171">
        <v>29</v>
      </c>
      <c r="AJ171">
        <v>0</v>
      </c>
      <c r="AK171">
        <v>10</v>
      </c>
      <c r="AL171" t="s">
        <v>1013</v>
      </c>
      <c r="AM171" t="s">
        <v>895</v>
      </c>
      <c r="AN171" t="s">
        <v>1014</v>
      </c>
      <c r="AO171" t="s">
        <v>2650</v>
      </c>
      <c r="AP171" t="s">
        <v>74</v>
      </c>
      <c r="AQ171" t="s">
        <v>74</v>
      </c>
      <c r="AR171" t="s">
        <v>2652</v>
      </c>
      <c r="AS171" t="s">
        <v>2653</v>
      </c>
      <c r="AT171" t="s">
        <v>2654</v>
      </c>
      <c r="AU171">
        <v>2002</v>
      </c>
      <c r="AV171">
        <v>64</v>
      </c>
      <c r="AW171" t="s">
        <v>2655</v>
      </c>
      <c r="AX171" t="s">
        <v>74</v>
      </c>
      <c r="AY171" t="s">
        <v>74</v>
      </c>
      <c r="AZ171" t="s">
        <v>74</v>
      </c>
      <c r="BA171" t="s">
        <v>74</v>
      </c>
      <c r="BB171">
        <v>1183</v>
      </c>
      <c r="BC171">
        <v>1199</v>
      </c>
      <c r="BD171" t="s">
        <v>2702</v>
      </c>
      <c r="BE171" t="s">
        <v>2703</v>
      </c>
      <c r="BF171" t="str">
        <f>HYPERLINK("http://dx.doi.org/10.1016/S1364-6826(02)00068-8","http://dx.doi.org/10.1016/S1364-6826(02)00068-8")</f>
        <v>http://dx.doi.org/10.1016/S1364-6826(02)00068-8</v>
      </c>
      <c r="BG171" t="s">
        <v>74</v>
      </c>
      <c r="BH171" t="s">
        <v>74</v>
      </c>
      <c r="BI171">
        <v>17</v>
      </c>
      <c r="BJ171" t="s">
        <v>2658</v>
      </c>
      <c r="BK171" t="s">
        <v>744</v>
      </c>
      <c r="BL171" t="s">
        <v>2658</v>
      </c>
      <c r="BM171" t="s">
        <v>2659</v>
      </c>
      <c r="BN171" t="s">
        <v>74</v>
      </c>
      <c r="BO171" t="s">
        <v>74</v>
      </c>
      <c r="BP171" t="s">
        <v>74</v>
      </c>
      <c r="BQ171" t="s">
        <v>74</v>
      </c>
      <c r="BR171" t="s">
        <v>107</v>
      </c>
      <c r="BS171" t="s">
        <v>2704</v>
      </c>
      <c r="BT171" t="str">
        <f>HYPERLINK("https%3A%2F%2Fwww.webofscience.com%2Fwos%2Fwoscc%2Ffull-record%2FWOS:000176748800027","View Full Record in Web of Science")</f>
        <v>View Full Record in Web of Science</v>
      </c>
    </row>
    <row r="172" spans="1:72" x14ac:dyDescent="0.15">
      <c r="A172" t="s">
        <v>72</v>
      </c>
      <c r="B172" t="s">
        <v>2705</v>
      </c>
      <c r="C172" t="s">
        <v>74</v>
      </c>
      <c r="D172" t="s">
        <v>74</v>
      </c>
      <c r="E172" t="s">
        <v>74</v>
      </c>
      <c r="F172" t="s">
        <v>2705</v>
      </c>
      <c r="G172" t="s">
        <v>74</v>
      </c>
      <c r="H172" t="s">
        <v>74</v>
      </c>
      <c r="I172" t="s">
        <v>2706</v>
      </c>
      <c r="J172" t="s">
        <v>2707</v>
      </c>
      <c r="K172" t="s">
        <v>74</v>
      </c>
      <c r="L172" t="s">
        <v>74</v>
      </c>
      <c r="M172" t="s">
        <v>77</v>
      </c>
      <c r="N172" t="s">
        <v>153</v>
      </c>
      <c r="O172" t="s">
        <v>74</v>
      </c>
      <c r="P172" t="s">
        <v>74</v>
      </c>
      <c r="Q172" t="s">
        <v>74</v>
      </c>
      <c r="R172" t="s">
        <v>74</v>
      </c>
      <c r="S172" t="s">
        <v>74</v>
      </c>
      <c r="T172" t="s">
        <v>2708</v>
      </c>
      <c r="U172" t="s">
        <v>2709</v>
      </c>
      <c r="V172" t="s">
        <v>2710</v>
      </c>
      <c r="W172" t="s">
        <v>2711</v>
      </c>
      <c r="X172" t="s">
        <v>2712</v>
      </c>
      <c r="Y172" t="s">
        <v>2713</v>
      </c>
      <c r="Z172" t="s">
        <v>74</v>
      </c>
      <c r="AA172" t="s">
        <v>2714</v>
      </c>
      <c r="AB172" t="s">
        <v>2715</v>
      </c>
      <c r="AC172" t="s">
        <v>74</v>
      </c>
      <c r="AD172" t="s">
        <v>74</v>
      </c>
      <c r="AE172" t="s">
        <v>74</v>
      </c>
      <c r="AF172" t="s">
        <v>74</v>
      </c>
      <c r="AG172">
        <v>73</v>
      </c>
      <c r="AH172">
        <v>44</v>
      </c>
      <c r="AI172">
        <v>49</v>
      </c>
      <c r="AJ172">
        <v>2</v>
      </c>
      <c r="AK172">
        <v>7</v>
      </c>
      <c r="AL172" t="s">
        <v>290</v>
      </c>
      <c r="AM172" t="s">
        <v>195</v>
      </c>
      <c r="AN172" t="s">
        <v>291</v>
      </c>
      <c r="AO172" t="s">
        <v>2716</v>
      </c>
      <c r="AP172" t="s">
        <v>74</v>
      </c>
      <c r="AQ172" t="s">
        <v>74</v>
      </c>
      <c r="AR172" t="s">
        <v>2717</v>
      </c>
      <c r="AS172" t="s">
        <v>2718</v>
      </c>
      <c r="AT172" t="s">
        <v>2208</v>
      </c>
      <c r="AU172">
        <v>2002</v>
      </c>
      <c r="AV172">
        <v>172</v>
      </c>
      <c r="AW172">
        <v>4</v>
      </c>
      <c r="AX172" t="s">
        <v>74</v>
      </c>
      <c r="AY172" t="s">
        <v>74</v>
      </c>
      <c r="AZ172" t="s">
        <v>74</v>
      </c>
      <c r="BA172" t="s">
        <v>74</v>
      </c>
      <c r="BB172">
        <v>315</v>
      </c>
      <c r="BC172">
        <v>328</v>
      </c>
      <c r="BD172" t="s">
        <v>74</v>
      </c>
      <c r="BE172" t="s">
        <v>2719</v>
      </c>
      <c r="BF172" t="str">
        <f>HYPERLINK("http://dx.doi.org/10.1007/s00360-002-0257-0","http://dx.doi.org/10.1007/s00360-002-0257-0")</f>
        <v>http://dx.doi.org/10.1007/s00360-002-0257-0</v>
      </c>
      <c r="BG172" t="s">
        <v>74</v>
      </c>
      <c r="BH172" t="s">
        <v>74</v>
      </c>
      <c r="BI172">
        <v>14</v>
      </c>
      <c r="BJ172" t="s">
        <v>2720</v>
      </c>
      <c r="BK172" t="s">
        <v>170</v>
      </c>
      <c r="BL172" t="s">
        <v>2720</v>
      </c>
      <c r="BM172" t="s">
        <v>2721</v>
      </c>
      <c r="BN172">
        <v>12037594</v>
      </c>
      <c r="BO172" t="s">
        <v>74</v>
      </c>
      <c r="BP172" t="s">
        <v>74</v>
      </c>
      <c r="BQ172" t="s">
        <v>74</v>
      </c>
      <c r="BR172" t="s">
        <v>107</v>
      </c>
      <c r="BS172" t="s">
        <v>2722</v>
      </c>
      <c r="BT172" t="str">
        <f>HYPERLINK("https%3A%2F%2Fwww.webofscience.com%2Fwos%2Fwoscc%2Ffull-record%2FWOS:000176528200005","View Full Record in Web of Science")</f>
        <v>View Full Record in Web of Science</v>
      </c>
    </row>
    <row r="173" spans="1:72" x14ac:dyDescent="0.15">
      <c r="A173" t="s">
        <v>72</v>
      </c>
      <c r="B173" t="s">
        <v>2723</v>
      </c>
      <c r="C173" t="s">
        <v>74</v>
      </c>
      <c r="D173" t="s">
        <v>74</v>
      </c>
      <c r="E173" t="s">
        <v>74</v>
      </c>
      <c r="F173" t="s">
        <v>2723</v>
      </c>
      <c r="G173" t="s">
        <v>74</v>
      </c>
      <c r="H173" t="s">
        <v>74</v>
      </c>
      <c r="I173" t="s">
        <v>2724</v>
      </c>
      <c r="J173" t="s">
        <v>2725</v>
      </c>
      <c r="K173" t="s">
        <v>74</v>
      </c>
      <c r="L173" t="s">
        <v>74</v>
      </c>
      <c r="M173" t="s">
        <v>77</v>
      </c>
      <c r="N173" t="s">
        <v>153</v>
      </c>
      <c r="O173" t="s">
        <v>74</v>
      </c>
      <c r="P173" t="s">
        <v>74</v>
      </c>
      <c r="Q173" t="s">
        <v>74</v>
      </c>
      <c r="R173" t="s">
        <v>74</v>
      </c>
      <c r="S173" t="s">
        <v>74</v>
      </c>
      <c r="T173" t="s">
        <v>2726</v>
      </c>
      <c r="U173" t="s">
        <v>2727</v>
      </c>
      <c r="V173" t="s">
        <v>2728</v>
      </c>
      <c r="W173" t="s">
        <v>2729</v>
      </c>
      <c r="X173" t="s">
        <v>2199</v>
      </c>
      <c r="Y173" t="s">
        <v>2730</v>
      </c>
      <c r="Z173" t="s">
        <v>2731</v>
      </c>
      <c r="AA173" t="s">
        <v>74</v>
      </c>
      <c r="AB173" t="s">
        <v>74</v>
      </c>
      <c r="AC173" t="s">
        <v>74</v>
      </c>
      <c r="AD173" t="s">
        <v>74</v>
      </c>
      <c r="AE173" t="s">
        <v>74</v>
      </c>
      <c r="AF173" t="s">
        <v>74</v>
      </c>
      <c r="AG173">
        <v>44</v>
      </c>
      <c r="AH173">
        <v>16</v>
      </c>
      <c r="AI173">
        <v>17</v>
      </c>
      <c r="AJ173">
        <v>2</v>
      </c>
      <c r="AK173">
        <v>8</v>
      </c>
      <c r="AL173" t="s">
        <v>2732</v>
      </c>
      <c r="AM173" t="s">
        <v>2733</v>
      </c>
      <c r="AN173" t="s">
        <v>2734</v>
      </c>
      <c r="AO173" t="s">
        <v>2716</v>
      </c>
      <c r="AP173" t="s">
        <v>2735</v>
      </c>
      <c r="AQ173" t="s">
        <v>74</v>
      </c>
      <c r="AR173" t="s">
        <v>2717</v>
      </c>
      <c r="AS173" t="s">
        <v>2718</v>
      </c>
      <c r="AT173" t="s">
        <v>2208</v>
      </c>
      <c r="AU173">
        <v>2002</v>
      </c>
      <c r="AV173">
        <v>172</v>
      </c>
      <c r="AW173">
        <v>4</v>
      </c>
      <c r="AX173" t="s">
        <v>74</v>
      </c>
      <c r="AY173" t="s">
        <v>74</v>
      </c>
      <c r="AZ173" t="s">
        <v>74</v>
      </c>
      <c r="BA173" t="s">
        <v>74</v>
      </c>
      <c r="BB173">
        <v>287</v>
      </c>
      <c r="BC173">
        <v>295</v>
      </c>
      <c r="BD173" t="s">
        <v>74</v>
      </c>
      <c r="BE173" t="s">
        <v>2736</v>
      </c>
      <c r="BF173" t="str">
        <f>HYPERLINK("http://dx.doi.org/10.1007/s00360-002-0253-4","http://dx.doi.org/10.1007/s00360-002-0253-4")</f>
        <v>http://dx.doi.org/10.1007/s00360-002-0253-4</v>
      </c>
      <c r="BG173" t="s">
        <v>74</v>
      </c>
      <c r="BH173" t="s">
        <v>74</v>
      </c>
      <c r="BI173">
        <v>9</v>
      </c>
      <c r="BJ173" t="s">
        <v>2720</v>
      </c>
      <c r="BK173" t="s">
        <v>170</v>
      </c>
      <c r="BL173" t="s">
        <v>2720</v>
      </c>
      <c r="BM173" t="s">
        <v>2721</v>
      </c>
      <c r="BN173">
        <v>12037591</v>
      </c>
      <c r="BO173" t="s">
        <v>74</v>
      </c>
      <c r="BP173" t="s">
        <v>74</v>
      </c>
      <c r="BQ173" t="s">
        <v>74</v>
      </c>
      <c r="BR173" t="s">
        <v>107</v>
      </c>
      <c r="BS173" t="s">
        <v>2737</v>
      </c>
      <c r="BT173" t="str">
        <f>HYPERLINK("https%3A%2F%2Fwww.webofscience.com%2Fwos%2Fwoscc%2Ffull-record%2FWOS:000176528200002","View Full Record in Web of Science")</f>
        <v>View Full Record in Web of Science</v>
      </c>
    </row>
    <row r="174" spans="1:72" x14ac:dyDescent="0.15">
      <c r="A174" t="s">
        <v>72</v>
      </c>
      <c r="B174" t="s">
        <v>2738</v>
      </c>
      <c r="C174" t="s">
        <v>74</v>
      </c>
      <c r="D174" t="s">
        <v>74</v>
      </c>
      <c r="E174" t="s">
        <v>74</v>
      </c>
      <c r="F174" t="s">
        <v>2738</v>
      </c>
      <c r="G174" t="s">
        <v>74</v>
      </c>
      <c r="H174" t="s">
        <v>74</v>
      </c>
      <c r="I174" t="s">
        <v>2739</v>
      </c>
      <c r="J174" t="s">
        <v>1471</v>
      </c>
      <c r="K174" t="s">
        <v>74</v>
      </c>
      <c r="L174" t="s">
        <v>74</v>
      </c>
      <c r="M174" t="s">
        <v>77</v>
      </c>
      <c r="N174" t="s">
        <v>153</v>
      </c>
      <c r="O174" t="s">
        <v>74</v>
      </c>
      <c r="P174" t="s">
        <v>74</v>
      </c>
      <c r="Q174" t="s">
        <v>74</v>
      </c>
      <c r="R174" t="s">
        <v>74</v>
      </c>
      <c r="S174" t="s">
        <v>74</v>
      </c>
      <c r="T174" t="s">
        <v>74</v>
      </c>
      <c r="U174" t="s">
        <v>2740</v>
      </c>
      <c r="V174" t="s">
        <v>2741</v>
      </c>
      <c r="W174" t="s">
        <v>2742</v>
      </c>
      <c r="X174" t="s">
        <v>2743</v>
      </c>
      <c r="Y174" t="s">
        <v>2744</v>
      </c>
      <c r="Z174" t="s">
        <v>2745</v>
      </c>
      <c r="AA174" t="s">
        <v>2746</v>
      </c>
      <c r="AB174" t="s">
        <v>2747</v>
      </c>
      <c r="AC174" t="s">
        <v>74</v>
      </c>
      <c r="AD174" t="s">
        <v>74</v>
      </c>
      <c r="AE174" t="s">
        <v>74</v>
      </c>
      <c r="AF174" t="s">
        <v>74</v>
      </c>
      <c r="AG174">
        <v>96</v>
      </c>
      <c r="AH174">
        <v>113</v>
      </c>
      <c r="AI174">
        <v>121</v>
      </c>
      <c r="AJ174">
        <v>4</v>
      </c>
      <c r="AK174">
        <v>34</v>
      </c>
      <c r="AL174" t="s">
        <v>161</v>
      </c>
      <c r="AM174" t="s">
        <v>162</v>
      </c>
      <c r="AN174" t="s">
        <v>163</v>
      </c>
      <c r="AO174" t="s">
        <v>1518</v>
      </c>
      <c r="AP174" t="s">
        <v>1519</v>
      </c>
      <c r="AQ174" t="s">
        <v>74</v>
      </c>
      <c r="AR174" t="s">
        <v>1480</v>
      </c>
      <c r="AS174" t="s">
        <v>1481</v>
      </c>
      <c r="AT174" t="s">
        <v>2208</v>
      </c>
      <c r="AU174">
        <v>2002</v>
      </c>
      <c r="AV174">
        <v>107</v>
      </c>
      <c r="AW174" t="s">
        <v>2748</v>
      </c>
      <c r="AX174" t="s">
        <v>74</v>
      </c>
      <c r="AY174" t="s">
        <v>74</v>
      </c>
      <c r="AZ174" t="s">
        <v>74</v>
      </c>
      <c r="BA174" t="s">
        <v>74</v>
      </c>
      <c r="BB174" t="s">
        <v>74</v>
      </c>
      <c r="BC174" t="s">
        <v>74</v>
      </c>
      <c r="BD174">
        <v>4076</v>
      </c>
      <c r="BE174" t="s">
        <v>2749</v>
      </c>
      <c r="BF174" t="str">
        <f>HYPERLINK("http://dx.doi.org/10.1029/2000JD000317","http://dx.doi.org/10.1029/2000JD000317")</f>
        <v>http://dx.doi.org/10.1029/2000JD000317</v>
      </c>
      <c r="BG174" t="s">
        <v>74</v>
      </c>
      <c r="BH174" t="s">
        <v>74</v>
      </c>
      <c r="BI174">
        <v>13</v>
      </c>
      <c r="BJ174" t="s">
        <v>403</v>
      </c>
      <c r="BK174" t="s">
        <v>170</v>
      </c>
      <c r="BL174" t="s">
        <v>403</v>
      </c>
      <c r="BM174" t="s">
        <v>2750</v>
      </c>
      <c r="BN174" t="s">
        <v>74</v>
      </c>
      <c r="BO174" t="s">
        <v>2052</v>
      </c>
      <c r="BP174" t="s">
        <v>74</v>
      </c>
      <c r="BQ174" t="s">
        <v>74</v>
      </c>
      <c r="BR174" t="s">
        <v>107</v>
      </c>
      <c r="BS174" t="s">
        <v>2751</v>
      </c>
      <c r="BT174" t="str">
        <f>HYPERLINK("https%3A%2F%2Fwww.webofscience.com%2Fwos%2Fwoscc%2Ffull-record%2FWOS:000178894800002","View Full Record in Web of Science")</f>
        <v>View Full Record in Web of Science</v>
      </c>
    </row>
    <row r="175" spans="1:72" x14ac:dyDescent="0.15">
      <c r="A175" t="s">
        <v>72</v>
      </c>
      <c r="B175" t="s">
        <v>2752</v>
      </c>
      <c r="C175" t="s">
        <v>74</v>
      </c>
      <c r="D175" t="s">
        <v>74</v>
      </c>
      <c r="E175" t="s">
        <v>74</v>
      </c>
      <c r="F175" t="s">
        <v>2752</v>
      </c>
      <c r="G175" t="s">
        <v>74</v>
      </c>
      <c r="H175" t="s">
        <v>74</v>
      </c>
      <c r="I175" t="s">
        <v>2753</v>
      </c>
      <c r="J175" t="s">
        <v>1471</v>
      </c>
      <c r="K175" t="s">
        <v>74</v>
      </c>
      <c r="L175" t="s">
        <v>74</v>
      </c>
      <c r="M175" t="s">
        <v>77</v>
      </c>
      <c r="N175" t="s">
        <v>153</v>
      </c>
      <c r="O175" t="s">
        <v>74</v>
      </c>
      <c r="P175" t="s">
        <v>74</v>
      </c>
      <c r="Q175" t="s">
        <v>74</v>
      </c>
      <c r="R175" t="s">
        <v>74</v>
      </c>
      <c r="S175" t="s">
        <v>74</v>
      </c>
      <c r="T175" t="s">
        <v>2754</v>
      </c>
      <c r="U175" t="s">
        <v>2755</v>
      </c>
      <c r="V175" t="s">
        <v>2756</v>
      </c>
      <c r="W175" t="s">
        <v>2757</v>
      </c>
      <c r="X175" t="s">
        <v>2758</v>
      </c>
      <c r="Y175" t="s">
        <v>74</v>
      </c>
      <c r="Z175" t="s">
        <v>2759</v>
      </c>
      <c r="AA175" t="s">
        <v>74</v>
      </c>
      <c r="AB175" t="s">
        <v>74</v>
      </c>
      <c r="AC175" t="s">
        <v>74</v>
      </c>
      <c r="AD175" t="s">
        <v>74</v>
      </c>
      <c r="AE175" t="s">
        <v>74</v>
      </c>
      <c r="AF175" t="s">
        <v>74</v>
      </c>
      <c r="AG175">
        <v>35</v>
      </c>
      <c r="AH175">
        <v>2</v>
      </c>
      <c r="AI175">
        <v>2</v>
      </c>
      <c r="AJ175">
        <v>1</v>
      </c>
      <c r="AK175">
        <v>5</v>
      </c>
      <c r="AL175" t="s">
        <v>161</v>
      </c>
      <c r="AM175" t="s">
        <v>162</v>
      </c>
      <c r="AN175" t="s">
        <v>163</v>
      </c>
      <c r="AO175" t="s">
        <v>1518</v>
      </c>
      <c r="AP175" t="s">
        <v>1519</v>
      </c>
      <c r="AQ175" t="s">
        <v>74</v>
      </c>
      <c r="AR175" t="s">
        <v>1480</v>
      </c>
      <c r="AS175" t="s">
        <v>1481</v>
      </c>
      <c r="AT175" t="s">
        <v>2208</v>
      </c>
      <c r="AU175">
        <v>2002</v>
      </c>
      <c r="AV175">
        <v>107</v>
      </c>
      <c r="AW175" t="s">
        <v>2760</v>
      </c>
      <c r="AX175" t="s">
        <v>74</v>
      </c>
      <c r="AY175" t="s">
        <v>74</v>
      </c>
      <c r="AZ175" t="s">
        <v>74</v>
      </c>
      <c r="BA175" t="s">
        <v>74</v>
      </c>
      <c r="BB175" t="s">
        <v>74</v>
      </c>
      <c r="BC175" t="s">
        <v>74</v>
      </c>
      <c r="BD175">
        <v>4079</v>
      </c>
      <c r="BE175" t="s">
        <v>2761</v>
      </c>
      <c r="BF175" t="str">
        <f>HYPERLINK("http://dx.doi.org/10.1029/2001JD000662","http://dx.doi.org/10.1029/2001JD000662")</f>
        <v>http://dx.doi.org/10.1029/2001JD000662</v>
      </c>
      <c r="BG175" t="s">
        <v>74</v>
      </c>
      <c r="BH175" t="s">
        <v>74</v>
      </c>
      <c r="BI175">
        <v>9</v>
      </c>
      <c r="BJ175" t="s">
        <v>403</v>
      </c>
      <c r="BK175" t="s">
        <v>170</v>
      </c>
      <c r="BL175" t="s">
        <v>403</v>
      </c>
      <c r="BM175" t="s">
        <v>2762</v>
      </c>
      <c r="BN175" t="s">
        <v>74</v>
      </c>
      <c r="BO175" t="s">
        <v>173</v>
      </c>
      <c r="BP175" t="s">
        <v>74</v>
      </c>
      <c r="BQ175" t="s">
        <v>74</v>
      </c>
      <c r="BR175" t="s">
        <v>107</v>
      </c>
      <c r="BS175" t="s">
        <v>2763</v>
      </c>
      <c r="BT175" t="str">
        <f>HYPERLINK("https%3A%2F%2Fwww.webofscience.com%2Fwos%2Fwoscc%2Ffull-record%2FWOS:000178896500027","View Full Record in Web of Science")</f>
        <v>View Full Record in Web of Science</v>
      </c>
    </row>
    <row r="176" spans="1:72" x14ac:dyDescent="0.15">
      <c r="A176" t="s">
        <v>72</v>
      </c>
      <c r="B176" t="s">
        <v>2764</v>
      </c>
      <c r="C176" t="s">
        <v>74</v>
      </c>
      <c r="D176" t="s">
        <v>74</v>
      </c>
      <c r="E176" t="s">
        <v>74</v>
      </c>
      <c r="F176" t="s">
        <v>2764</v>
      </c>
      <c r="G176" t="s">
        <v>74</v>
      </c>
      <c r="H176" t="s">
        <v>74</v>
      </c>
      <c r="I176" t="s">
        <v>2765</v>
      </c>
      <c r="J176" t="s">
        <v>1524</v>
      </c>
      <c r="K176" t="s">
        <v>74</v>
      </c>
      <c r="L176" t="s">
        <v>74</v>
      </c>
      <c r="M176" t="s">
        <v>77</v>
      </c>
      <c r="N176" t="s">
        <v>153</v>
      </c>
      <c r="O176" t="s">
        <v>74</v>
      </c>
      <c r="P176" t="s">
        <v>74</v>
      </c>
      <c r="Q176" t="s">
        <v>74</v>
      </c>
      <c r="R176" t="s">
        <v>74</v>
      </c>
      <c r="S176" t="s">
        <v>74</v>
      </c>
      <c r="T176" t="s">
        <v>2766</v>
      </c>
      <c r="U176" t="s">
        <v>2767</v>
      </c>
      <c r="V176" t="s">
        <v>2768</v>
      </c>
      <c r="W176" t="s">
        <v>2769</v>
      </c>
      <c r="X176" t="s">
        <v>2770</v>
      </c>
      <c r="Y176" t="s">
        <v>2771</v>
      </c>
      <c r="Z176" t="s">
        <v>2772</v>
      </c>
      <c r="AA176" t="s">
        <v>2773</v>
      </c>
      <c r="AB176" t="s">
        <v>2774</v>
      </c>
      <c r="AC176" t="s">
        <v>74</v>
      </c>
      <c r="AD176" t="s">
        <v>74</v>
      </c>
      <c r="AE176" t="s">
        <v>74</v>
      </c>
      <c r="AF176" t="s">
        <v>74</v>
      </c>
      <c r="AG176">
        <v>69</v>
      </c>
      <c r="AH176">
        <v>299</v>
      </c>
      <c r="AI176">
        <v>349</v>
      </c>
      <c r="AJ176">
        <v>1</v>
      </c>
      <c r="AK176">
        <v>55</v>
      </c>
      <c r="AL176" t="s">
        <v>161</v>
      </c>
      <c r="AM176" t="s">
        <v>162</v>
      </c>
      <c r="AN176" t="s">
        <v>163</v>
      </c>
      <c r="AO176" t="s">
        <v>1533</v>
      </c>
      <c r="AP176" t="s">
        <v>1534</v>
      </c>
      <c r="AQ176" t="s">
        <v>74</v>
      </c>
      <c r="AR176" t="s">
        <v>1535</v>
      </c>
      <c r="AS176" t="s">
        <v>1536</v>
      </c>
      <c r="AT176" t="s">
        <v>2208</v>
      </c>
      <c r="AU176">
        <v>2002</v>
      </c>
      <c r="AV176">
        <v>107</v>
      </c>
      <c r="AW176" t="s">
        <v>2775</v>
      </c>
      <c r="AX176" t="s">
        <v>74</v>
      </c>
      <c r="AY176" t="s">
        <v>74</v>
      </c>
      <c r="AZ176" t="s">
        <v>74</v>
      </c>
      <c r="BA176" t="s">
        <v>74</v>
      </c>
      <c r="BB176" t="s">
        <v>74</v>
      </c>
      <c r="BC176" t="s">
        <v>74</v>
      </c>
      <c r="BD176">
        <v>3041</v>
      </c>
      <c r="BE176" t="s">
        <v>2776</v>
      </c>
      <c r="BF176" t="str">
        <f>HYPERLINK("http://dx.doi.org/10.1029/2000JC000733","http://dx.doi.org/10.1029/2000JC000733")</f>
        <v>http://dx.doi.org/10.1029/2000JC000733</v>
      </c>
      <c r="BG176" t="s">
        <v>74</v>
      </c>
      <c r="BH176" t="s">
        <v>74</v>
      </c>
      <c r="BI176">
        <v>21</v>
      </c>
      <c r="BJ176" t="s">
        <v>1155</v>
      </c>
      <c r="BK176" t="s">
        <v>170</v>
      </c>
      <c r="BL176" t="s">
        <v>1155</v>
      </c>
      <c r="BM176" t="s">
        <v>2777</v>
      </c>
      <c r="BN176" t="s">
        <v>74</v>
      </c>
      <c r="BO176" t="s">
        <v>665</v>
      </c>
      <c r="BP176" t="s">
        <v>74</v>
      </c>
      <c r="BQ176" t="s">
        <v>74</v>
      </c>
      <c r="BR176" t="s">
        <v>107</v>
      </c>
      <c r="BS176" t="s">
        <v>2778</v>
      </c>
      <c r="BT176" t="str">
        <f>HYPERLINK("https%3A%2F%2Fwww.webofscience.com%2Fwos%2Fwoscc%2Ffull-record%2FWOS:000178926100007","View Full Record in Web of Science")</f>
        <v>View Full Record in Web of Science</v>
      </c>
    </row>
    <row r="177" spans="1:72" x14ac:dyDescent="0.15">
      <c r="A177" t="s">
        <v>72</v>
      </c>
      <c r="B177" t="s">
        <v>2779</v>
      </c>
      <c r="C177" t="s">
        <v>74</v>
      </c>
      <c r="D177" t="s">
        <v>74</v>
      </c>
      <c r="E177" t="s">
        <v>74</v>
      </c>
      <c r="F177" t="s">
        <v>2779</v>
      </c>
      <c r="G177" t="s">
        <v>74</v>
      </c>
      <c r="H177" t="s">
        <v>74</v>
      </c>
      <c r="I177" t="s">
        <v>2780</v>
      </c>
      <c r="J177" t="s">
        <v>2781</v>
      </c>
      <c r="K177" t="s">
        <v>74</v>
      </c>
      <c r="L177" t="s">
        <v>74</v>
      </c>
      <c r="M177" t="s">
        <v>77</v>
      </c>
      <c r="N177" t="s">
        <v>153</v>
      </c>
      <c r="O177" t="s">
        <v>74</v>
      </c>
      <c r="P177" t="s">
        <v>74</v>
      </c>
      <c r="Q177" t="s">
        <v>74</v>
      </c>
      <c r="R177" t="s">
        <v>74</v>
      </c>
      <c r="S177" t="s">
        <v>74</v>
      </c>
      <c r="T177" t="s">
        <v>74</v>
      </c>
      <c r="U177" t="s">
        <v>74</v>
      </c>
      <c r="V177" t="s">
        <v>2782</v>
      </c>
      <c r="W177" t="s">
        <v>2783</v>
      </c>
      <c r="X177" t="s">
        <v>852</v>
      </c>
      <c r="Y177" t="s">
        <v>2784</v>
      </c>
      <c r="Z177" t="s">
        <v>74</v>
      </c>
      <c r="AA177" t="s">
        <v>74</v>
      </c>
      <c r="AB177" t="s">
        <v>2785</v>
      </c>
      <c r="AC177" t="s">
        <v>74</v>
      </c>
      <c r="AD177" t="s">
        <v>74</v>
      </c>
      <c r="AE177" t="s">
        <v>74</v>
      </c>
      <c r="AF177" t="s">
        <v>74</v>
      </c>
      <c r="AG177">
        <v>15</v>
      </c>
      <c r="AH177">
        <v>1</v>
      </c>
      <c r="AI177">
        <v>2</v>
      </c>
      <c r="AJ177">
        <v>0</v>
      </c>
      <c r="AK177">
        <v>0</v>
      </c>
      <c r="AL177" t="s">
        <v>1646</v>
      </c>
      <c r="AM177" t="s">
        <v>895</v>
      </c>
      <c r="AN177" t="s">
        <v>1647</v>
      </c>
      <c r="AO177" t="s">
        <v>2786</v>
      </c>
      <c r="AP177" t="s">
        <v>74</v>
      </c>
      <c r="AQ177" t="s">
        <v>74</v>
      </c>
      <c r="AR177" t="s">
        <v>2787</v>
      </c>
      <c r="AS177" t="s">
        <v>2788</v>
      </c>
      <c r="AT177" t="s">
        <v>2208</v>
      </c>
      <c r="AU177">
        <v>2002</v>
      </c>
      <c r="AV177">
        <v>68</v>
      </c>
      <c r="AW177" t="s">
        <v>74</v>
      </c>
      <c r="AX177">
        <v>2</v>
      </c>
      <c r="AY177" t="s">
        <v>74</v>
      </c>
      <c r="AZ177" t="s">
        <v>74</v>
      </c>
      <c r="BA177" t="s">
        <v>74</v>
      </c>
      <c r="BB177">
        <v>147</v>
      </c>
      <c r="BC177">
        <v>153</v>
      </c>
      <c r="BD177" t="s">
        <v>74</v>
      </c>
      <c r="BE177" t="s">
        <v>2789</v>
      </c>
      <c r="BF177" t="str">
        <f>HYPERLINK("http://dx.doi.org/10.1093/mollus/68.2.147","http://dx.doi.org/10.1093/mollus/68.2.147")</f>
        <v>http://dx.doi.org/10.1093/mollus/68.2.147</v>
      </c>
      <c r="BG177" t="s">
        <v>74</v>
      </c>
      <c r="BH177" t="s">
        <v>74</v>
      </c>
      <c r="BI177">
        <v>7</v>
      </c>
      <c r="BJ177" t="s">
        <v>2790</v>
      </c>
      <c r="BK177" t="s">
        <v>170</v>
      </c>
      <c r="BL177" t="s">
        <v>2790</v>
      </c>
      <c r="BM177" t="s">
        <v>2791</v>
      </c>
      <c r="BN177">
        <v>12011240</v>
      </c>
      <c r="BO177" t="s">
        <v>173</v>
      </c>
      <c r="BP177" t="s">
        <v>74</v>
      </c>
      <c r="BQ177" t="s">
        <v>74</v>
      </c>
      <c r="BR177" t="s">
        <v>107</v>
      </c>
      <c r="BS177" t="s">
        <v>2792</v>
      </c>
      <c r="BT177" t="str">
        <f>HYPERLINK("https%3A%2F%2Fwww.webofscience.com%2Fwos%2Fwoscc%2Ffull-record%2FWOS:000175845400005","View Full Record in Web of Science")</f>
        <v>View Full Record in Web of Science</v>
      </c>
    </row>
    <row r="178" spans="1:72" x14ac:dyDescent="0.15">
      <c r="A178" t="s">
        <v>72</v>
      </c>
      <c r="B178" t="s">
        <v>2793</v>
      </c>
      <c r="C178" t="s">
        <v>74</v>
      </c>
      <c r="D178" t="s">
        <v>74</v>
      </c>
      <c r="E178" t="s">
        <v>74</v>
      </c>
      <c r="F178" t="s">
        <v>2793</v>
      </c>
      <c r="G178" t="s">
        <v>74</v>
      </c>
      <c r="H178" t="s">
        <v>74</v>
      </c>
      <c r="I178" t="s">
        <v>2794</v>
      </c>
      <c r="J178" t="s">
        <v>1657</v>
      </c>
      <c r="K178" t="s">
        <v>74</v>
      </c>
      <c r="L178" t="s">
        <v>74</v>
      </c>
      <c r="M178" t="s">
        <v>77</v>
      </c>
      <c r="N178" t="s">
        <v>153</v>
      </c>
      <c r="O178" t="s">
        <v>74</v>
      </c>
      <c r="P178" t="s">
        <v>74</v>
      </c>
      <c r="Q178" t="s">
        <v>74</v>
      </c>
      <c r="R178" t="s">
        <v>74</v>
      </c>
      <c r="S178" t="s">
        <v>74</v>
      </c>
      <c r="T178" t="s">
        <v>74</v>
      </c>
      <c r="U178" t="s">
        <v>2795</v>
      </c>
      <c r="V178" t="s">
        <v>2796</v>
      </c>
      <c r="W178" t="s">
        <v>2797</v>
      </c>
      <c r="X178" t="s">
        <v>2798</v>
      </c>
      <c r="Y178" t="s">
        <v>2799</v>
      </c>
      <c r="Z178" t="s">
        <v>2800</v>
      </c>
      <c r="AA178" t="s">
        <v>2801</v>
      </c>
      <c r="AB178" t="s">
        <v>2802</v>
      </c>
      <c r="AC178" t="s">
        <v>74</v>
      </c>
      <c r="AD178" t="s">
        <v>74</v>
      </c>
      <c r="AE178" t="s">
        <v>74</v>
      </c>
      <c r="AF178" t="s">
        <v>74</v>
      </c>
      <c r="AG178">
        <v>49</v>
      </c>
      <c r="AH178">
        <v>157</v>
      </c>
      <c r="AI178">
        <v>166</v>
      </c>
      <c r="AJ178">
        <v>0</v>
      </c>
      <c r="AK178">
        <v>13</v>
      </c>
      <c r="AL178" t="s">
        <v>1439</v>
      </c>
      <c r="AM178" t="s">
        <v>1440</v>
      </c>
      <c r="AN178" t="s">
        <v>2803</v>
      </c>
      <c r="AO178" t="s">
        <v>1666</v>
      </c>
      <c r="AP178" t="s">
        <v>1694</v>
      </c>
      <c r="AQ178" t="s">
        <v>74</v>
      </c>
      <c r="AR178" t="s">
        <v>1667</v>
      </c>
      <c r="AS178" t="s">
        <v>1668</v>
      </c>
      <c r="AT178" t="s">
        <v>2208</v>
      </c>
      <c r="AU178">
        <v>2002</v>
      </c>
      <c r="AV178">
        <v>32</v>
      </c>
      <c r="AW178">
        <v>5</v>
      </c>
      <c r="AX178" t="s">
        <v>74</v>
      </c>
      <c r="AY178" t="s">
        <v>74</v>
      </c>
      <c r="AZ178" t="s">
        <v>74</v>
      </c>
      <c r="BA178" t="s">
        <v>74</v>
      </c>
      <c r="BB178">
        <v>1308</v>
      </c>
      <c r="BC178">
        <v>1321</v>
      </c>
      <c r="BD178" t="s">
        <v>74</v>
      </c>
      <c r="BE178" t="s">
        <v>2804</v>
      </c>
      <c r="BF178" t="str">
        <f>HYPERLINK("http://dx.doi.org/10.1175/1520-0485(2002)032&lt;1308:ETDLAS&gt;2.0.CO;2","http://dx.doi.org/10.1175/1520-0485(2002)032&lt;1308:ETDLAS&gt;2.0.CO;2")</f>
        <v>http://dx.doi.org/10.1175/1520-0485(2002)032&lt;1308:ETDLAS&gt;2.0.CO;2</v>
      </c>
      <c r="BG178" t="s">
        <v>74</v>
      </c>
      <c r="BH178" t="s">
        <v>74</v>
      </c>
      <c r="BI178">
        <v>14</v>
      </c>
      <c r="BJ178" t="s">
        <v>1155</v>
      </c>
      <c r="BK178" t="s">
        <v>170</v>
      </c>
      <c r="BL178" t="s">
        <v>1155</v>
      </c>
      <c r="BM178" t="s">
        <v>2805</v>
      </c>
      <c r="BN178" t="s">
        <v>74</v>
      </c>
      <c r="BO178" t="s">
        <v>173</v>
      </c>
      <c r="BP178" t="s">
        <v>74</v>
      </c>
      <c r="BQ178" t="s">
        <v>74</v>
      </c>
      <c r="BR178" t="s">
        <v>107</v>
      </c>
      <c r="BS178" t="s">
        <v>2806</v>
      </c>
      <c r="BT178" t="str">
        <f>HYPERLINK("https%3A%2F%2Fwww.webofscience.com%2Fwos%2Fwoscc%2Ffull-record%2FWOS:000175325500003","View Full Record in Web of Science")</f>
        <v>View Full Record in Web of Science</v>
      </c>
    </row>
    <row r="179" spans="1:72" x14ac:dyDescent="0.15">
      <c r="A179" t="s">
        <v>72</v>
      </c>
      <c r="B179" t="s">
        <v>2807</v>
      </c>
      <c r="C179" t="s">
        <v>74</v>
      </c>
      <c r="D179" t="s">
        <v>74</v>
      </c>
      <c r="E179" t="s">
        <v>74</v>
      </c>
      <c r="F179" t="s">
        <v>2807</v>
      </c>
      <c r="G179" t="s">
        <v>74</v>
      </c>
      <c r="H179" t="s">
        <v>74</v>
      </c>
      <c r="I179" t="s">
        <v>2808</v>
      </c>
      <c r="J179" t="s">
        <v>1657</v>
      </c>
      <c r="K179" t="s">
        <v>74</v>
      </c>
      <c r="L179" t="s">
        <v>74</v>
      </c>
      <c r="M179" t="s">
        <v>77</v>
      </c>
      <c r="N179" t="s">
        <v>153</v>
      </c>
      <c r="O179" t="s">
        <v>74</v>
      </c>
      <c r="P179" t="s">
        <v>74</v>
      </c>
      <c r="Q179" t="s">
        <v>74</v>
      </c>
      <c r="R179" t="s">
        <v>74</v>
      </c>
      <c r="S179" t="s">
        <v>74</v>
      </c>
      <c r="T179" t="s">
        <v>74</v>
      </c>
      <c r="U179" t="s">
        <v>2809</v>
      </c>
      <c r="V179" t="s">
        <v>2810</v>
      </c>
      <c r="W179" t="s">
        <v>2811</v>
      </c>
      <c r="X179" t="s">
        <v>2812</v>
      </c>
      <c r="Y179" t="s">
        <v>2813</v>
      </c>
      <c r="Z179" t="s">
        <v>74</v>
      </c>
      <c r="AA179" t="s">
        <v>74</v>
      </c>
      <c r="AB179" t="s">
        <v>2814</v>
      </c>
      <c r="AC179" t="s">
        <v>74</v>
      </c>
      <c r="AD179" t="s">
        <v>74</v>
      </c>
      <c r="AE179" t="s">
        <v>74</v>
      </c>
      <c r="AF179" t="s">
        <v>74</v>
      </c>
      <c r="AG179">
        <v>23</v>
      </c>
      <c r="AH179">
        <v>8</v>
      </c>
      <c r="AI179">
        <v>9</v>
      </c>
      <c r="AJ179">
        <v>0</v>
      </c>
      <c r="AK179">
        <v>0</v>
      </c>
      <c r="AL179" t="s">
        <v>1439</v>
      </c>
      <c r="AM179" t="s">
        <v>1440</v>
      </c>
      <c r="AN179" t="s">
        <v>1441</v>
      </c>
      <c r="AO179" t="s">
        <v>1666</v>
      </c>
      <c r="AP179" t="s">
        <v>74</v>
      </c>
      <c r="AQ179" t="s">
        <v>74</v>
      </c>
      <c r="AR179" t="s">
        <v>1667</v>
      </c>
      <c r="AS179" t="s">
        <v>1668</v>
      </c>
      <c r="AT179" t="s">
        <v>2208</v>
      </c>
      <c r="AU179">
        <v>2002</v>
      </c>
      <c r="AV179">
        <v>32</v>
      </c>
      <c r="AW179">
        <v>5</v>
      </c>
      <c r="AX179" t="s">
        <v>74</v>
      </c>
      <c r="AY179" t="s">
        <v>74</v>
      </c>
      <c r="AZ179" t="s">
        <v>74</v>
      </c>
      <c r="BA179" t="s">
        <v>74</v>
      </c>
      <c r="BB179">
        <v>1479</v>
      </c>
      <c r="BC179">
        <v>1495</v>
      </c>
      <c r="BD179" t="s">
        <v>74</v>
      </c>
      <c r="BE179" t="s">
        <v>2815</v>
      </c>
      <c r="BF179" t="str">
        <f>HYPERLINK("http://dx.doi.org/10.1175/1520-0485(2002)032&lt;1479:APMITA&gt;2.0.CO;2","http://dx.doi.org/10.1175/1520-0485(2002)032&lt;1479:APMITA&gt;2.0.CO;2")</f>
        <v>http://dx.doi.org/10.1175/1520-0485(2002)032&lt;1479:APMITA&gt;2.0.CO;2</v>
      </c>
      <c r="BG179" t="s">
        <v>74</v>
      </c>
      <c r="BH179" t="s">
        <v>74</v>
      </c>
      <c r="BI179">
        <v>17</v>
      </c>
      <c r="BJ179" t="s">
        <v>1155</v>
      </c>
      <c r="BK179" t="s">
        <v>170</v>
      </c>
      <c r="BL179" t="s">
        <v>1155</v>
      </c>
      <c r="BM179" t="s">
        <v>2805</v>
      </c>
      <c r="BN179" t="s">
        <v>74</v>
      </c>
      <c r="BO179" t="s">
        <v>2089</v>
      </c>
      <c r="BP179" t="s">
        <v>74</v>
      </c>
      <c r="BQ179" t="s">
        <v>74</v>
      </c>
      <c r="BR179" t="s">
        <v>107</v>
      </c>
      <c r="BS179" t="s">
        <v>2816</v>
      </c>
      <c r="BT179" t="str">
        <f>HYPERLINK("https%3A%2F%2Fwww.webofscience.com%2Fwos%2Fwoscc%2Ffull-record%2FWOS:000175325500013","View Full Record in Web of Science")</f>
        <v>View Full Record in Web of Science</v>
      </c>
    </row>
    <row r="180" spans="1:72" x14ac:dyDescent="0.15">
      <c r="A180" t="s">
        <v>72</v>
      </c>
      <c r="B180" t="s">
        <v>2817</v>
      </c>
      <c r="C180" t="s">
        <v>74</v>
      </c>
      <c r="D180" t="s">
        <v>74</v>
      </c>
      <c r="E180" t="s">
        <v>74</v>
      </c>
      <c r="F180" t="s">
        <v>2817</v>
      </c>
      <c r="G180" t="s">
        <v>74</v>
      </c>
      <c r="H180" t="s">
        <v>74</v>
      </c>
      <c r="I180" t="s">
        <v>2818</v>
      </c>
      <c r="J180" t="s">
        <v>1657</v>
      </c>
      <c r="K180" t="s">
        <v>74</v>
      </c>
      <c r="L180" t="s">
        <v>74</v>
      </c>
      <c r="M180" t="s">
        <v>77</v>
      </c>
      <c r="N180" t="s">
        <v>153</v>
      </c>
      <c r="O180" t="s">
        <v>74</v>
      </c>
      <c r="P180" t="s">
        <v>74</v>
      </c>
      <c r="Q180" t="s">
        <v>74</v>
      </c>
      <c r="R180" t="s">
        <v>74</v>
      </c>
      <c r="S180" t="s">
        <v>74</v>
      </c>
      <c r="T180" t="s">
        <v>74</v>
      </c>
      <c r="U180" t="s">
        <v>2819</v>
      </c>
      <c r="V180" t="s">
        <v>2820</v>
      </c>
      <c r="W180" t="s">
        <v>2821</v>
      </c>
      <c r="X180" t="s">
        <v>2822</v>
      </c>
      <c r="Y180" t="s">
        <v>2823</v>
      </c>
      <c r="Z180" t="s">
        <v>74</v>
      </c>
      <c r="AA180" t="s">
        <v>2824</v>
      </c>
      <c r="AB180" t="s">
        <v>2825</v>
      </c>
      <c r="AC180" t="s">
        <v>74</v>
      </c>
      <c r="AD180" t="s">
        <v>74</v>
      </c>
      <c r="AE180" t="s">
        <v>74</v>
      </c>
      <c r="AF180" t="s">
        <v>74</v>
      </c>
      <c r="AG180">
        <v>36</v>
      </c>
      <c r="AH180">
        <v>24</v>
      </c>
      <c r="AI180">
        <v>25</v>
      </c>
      <c r="AJ180">
        <v>0</v>
      </c>
      <c r="AK180">
        <v>1</v>
      </c>
      <c r="AL180" t="s">
        <v>1439</v>
      </c>
      <c r="AM180" t="s">
        <v>1440</v>
      </c>
      <c r="AN180" t="s">
        <v>1441</v>
      </c>
      <c r="AO180" t="s">
        <v>1666</v>
      </c>
      <c r="AP180" t="s">
        <v>74</v>
      </c>
      <c r="AQ180" t="s">
        <v>74</v>
      </c>
      <c r="AR180" t="s">
        <v>1667</v>
      </c>
      <c r="AS180" t="s">
        <v>1668</v>
      </c>
      <c r="AT180" t="s">
        <v>2208</v>
      </c>
      <c r="AU180">
        <v>2002</v>
      </c>
      <c r="AV180">
        <v>32</v>
      </c>
      <c r="AW180">
        <v>5</v>
      </c>
      <c r="AX180" t="s">
        <v>74</v>
      </c>
      <c r="AY180" t="s">
        <v>74</v>
      </c>
      <c r="AZ180" t="s">
        <v>74</v>
      </c>
      <c r="BA180" t="s">
        <v>74</v>
      </c>
      <c r="BB180">
        <v>1536</v>
      </c>
      <c r="BC180">
        <v>1553</v>
      </c>
      <c r="BD180" t="s">
        <v>74</v>
      </c>
      <c r="BE180" t="s">
        <v>2826</v>
      </c>
      <c r="BF180" t="str">
        <f>HYPERLINK("http://dx.doi.org/10.1175/1520-0485(2002)032&lt;1536:AMSVOT&gt;2.0.CO;2","http://dx.doi.org/10.1175/1520-0485(2002)032&lt;1536:AMSVOT&gt;2.0.CO;2")</f>
        <v>http://dx.doi.org/10.1175/1520-0485(2002)032&lt;1536:AMSVOT&gt;2.0.CO;2</v>
      </c>
      <c r="BG180" t="s">
        <v>74</v>
      </c>
      <c r="BH180" t="s">
        <v>74</v>
      </c>
      <c r="BI180">
        <v>18</v>
      </c>
      <c r="BJ180" t="s">
        <v>1155</v>
      </c>
      <c r="BK180" t="s">
        <v>170</v>
      </c>
      <c r="BL180" t="s">
        <v>1155</v>
      </c>
      <c r="BM180" t="s">
        <v>2805</v>
      </c>
      <c r="BN180" t="s">
        <v>74</v>
      </c>
      <c r="BO180" t="s">
        <v>461</v>
      </c>
      <c r="BP180" t="s">
        <v>74</v>
      </c>
      <c r="BQ180" t="s">
        <v>74</v>
      </c>
      <c r="BR180" t="s">
        <v>107</v>
      </c>
      <c r="BS180" t="s">
        <v>2827</v>
      </c>
      <c r="BT180" t="str">
        <f>HYPERLINK("https%3A%2F%2Fwww.webofscience.com%2Fwos%2Fwoscc%2Ffull-record%2FWOS:000175325500017","View Full Record in Web of Science")</f>
        <v>View Full Record in Web of Science</v>
      </c>
    </row>
    <row r="181" spans="1:72" x14ac:dyDescent="0.15">
      <c r="A181" t="s">
        <v>72</v>
      </c>
      <c r="B181" t="s">
        <v>2828</v>
      </c>
      <c r="C181" t="s">
        <v>74</v>
      </c>
      <c r="D181" t="s">
        <v>74</v>
      </c>
      <c r="E181" t="s">
        <v>74</v>
      </c>
      <c r="F181" t="s">
        <v>2828</v>
      </c>
      <c r="G181" t="s">
        <v>74</v>
      </c>
      <c r="H181" t="s">
        <v>74</v>
      </c>
      <c r="I181" t="s">
        <v>2829</v>
      </c>
      <c r="J181" t="s">
        <v>1657</v>
      </c>
      <c r="K181" t="s">
        <v>74</v>
      </c>
      <c r="L181" t="s">
        <v>74</v>
      </c>
      <c r="M181" t="s">
        <v>77</v>
      </c>
      <c r="N181" t="s">
        <v>153</v>
      </c>
      <c r="O181" t="s">
        <v>74</v>
      </c>
      <c r="P181" t="s">
        <v>74</v>
      </c>
      <c r="Q181" t="s">
        <v>74</v>
      </c>
      <c r="R181" t="s">
        <v>74</v>
      </c>
      <c r="S181" t="s">
        <v>74</v>
      </c>
      <c r="T181" t="s">
        <v>74</v>
      </c>
      <c r="U181" t="s">
        <v>2830</v>
      </c>
      <c r="V181" t="s">
        <v>2831</v>
      </c>
      <c r="W181" t="s">
        <v>2832</v>
      </c>
      <c r="X181" t="s">
        <v>2833</v>
      </c>
      <c r="Y181" t="s">
        <v>2834</v>
      </c>
      <c r="Z181" t="s">
        <v>74</v>
      </c>
      <c r="AA181" t="s">
        <v>2835</v>
      </c>
      <c r="AB181" t="s">
        <v>2836</v>
      </c>
      <c r="AC181" t="s">
        <v>74</v>
      </c>
      <c r="AD181" t="s">
        <v>74</v>
      </c>
      <c r="AE181" t="s">
        <v>74</v>
      </c>
      <c r="AF181" t="s">
        <v>74</v>
      </c>
      <c r="AG181">
        <v>19</v>
      </c>
      <c r="AH181">
        <v>30</v>
      </c>
      <c r="AI181">
        <v>32</v>
      </c>
      <c r="AJ181">
        <v>0</v>
      </c>
      <c r="AK181">
        <v>4</v>
      </c>
      <c r="AL181" t="s">
        <v>1439</v>
      </c>
      <c r="AM181" t="s">
        <v>1440</v>
      </c>
      <c r="AN181" t="s">
        <v>1441</v>
      </c>
      <c r="AO181" t="s">
        <v>1666</v>
      </c>
      <c r="AP181" t="s">
        <v>74</v>
      </c>
      <c r="AQ181" t="s">
        <v>74</v>
      </c>
      <c r="AR181" t="s">
        <v>1667</v>
      </c>
      <c r="AS181" t="s">
        <v>1668</v>
      </c>
      <c r="AT181" t="s">
        <v>2208</v>
      </c>
      <c r="AU181">
        <v>2002</v>
      </c>
      <c r="AV181">
        <v>32</v>
      </c>
      <c r="AW181">
        <v>5</v>
      </c>
      <c r="AX181" t="s">
        <v>74</v>
      </c>
      <c r="AY181" t="s">
        <v>74</v>
      </c>
      <c r="AZ181" t="s">
        <v>74</v>
      </c>
      <c r="BA181" t="s">
        <v>74</v>
      </c>
      <c r="BB181">
        <v>1574</v>
      </c>
      <c r="BC181">
        <v>1584</v>
      </c>
      <c r="BD181" t="s">
        <v>74</v>
      </c>
      <c r="BE181" t="s">
        <v>2837</v>
      </c>
      <c r="BF181" t="str">
        <f>HYPERLINK("http://dx.doi.org/10.1175/1520-0485(2002)032&lt;1574:OCEIOH&gt;2.0.CO;2","http://dx.doi.org/10.1175/1520-0485(2002)032&lt;1574:OCEIOH&gt;2.0.CO;2")</f>
        <v>http://dx.doi.org/10.1175/1520-0485(2002)032&lt;1574:OCEIOH&gt;2.0.CO;2</v>
      </c>
      <c r="BG181" t="s">
        <v>74</v>
      </c>
      <c r="BH181" t="s">
        <v>74</v>
      </c>
      <c r="BI181">
        <v>11</v>
      </c>
      <c r="BJ181" t="s">
        <v>1155</v>
      </c>
      <c r="BK181" t="s">
        <v>170</v>
      </c>
      <c r="BL181" t="s">
        <v>1155</v>
      </c>
      <c r="BM181" t="s">
        <v>2805</v>
      </c>
      <c r="BN181" t="s">
        <v>74</v>
      </c>
      <c r="BO181" t="s">
        <v>461</v>
      </c>
      <c r="BP181" t="s">
        <v>74</v>
      </c>
      <c r="BQ181" t="s">
        <v>74</v>
      </c>
      <c r="BR181" t="s">
        <v>107</v>
      </c>
      <c r="BS181" t="s">
        <v>2838</v>
      </c>
      <c r="BT181" t="str">
        <f>HYPERLINK("https%3A%2F%2Fwww.webofscience.com%2Fwos%2Fwoscc%2Ffull-record%2FWOS:000175325500020","View Full Record in Web of Science")</f>
        <v>View Full Record in Web of Science</v>
      </c>
    </row>
    <row r="182" spans="1:72" x14ac:dyDescent="0.15">
      <c r="A182" t="s">
        <v>72</v>
      </c>
      <c r="B182" t="s">
        <v>2839</v>
      </c>
      <c r="C182" t="s">
        <v>74</v>
      </c>
      <c r="D182" t="s">
        <v>74</v>
      </c>
      <c r="E182" t="s">
        <v>74</v>
      </c>
      <c r="F182" t="s">
        <v>2839</v>
      </c>
      <c r="G182" t="s">
        <v>74</v>
      </c>
      <c r="H182" t="s">
        <v>74</v>
      </c>
      <c r="I182" t="s">
        <v>2840</v>
      </c>
      <c r="J182" t="s">
        <v>2841</v>
      </c>
      <c r="K182" t="s">
        <v>74</v>
      </c>
      <c r="L182" t="s">
        <v>74</v>
      </c>
      <c r="M182" t="s">
        <v>77</v>
      </c>
      <c r="N182" t="s">
        <v>153</v>
      </c>
      <c r="O182" t="s">
        <v>74</v>
      </c>
      <c r="P182" t="s">
        <v>74</v>
      </c>
      <c r="Q182" t="s">
        <v>74</v>
      </c>
      <c r="R182" t="s">
        <v>74</v>
      </c>
      <c r="S182" t="s">
        <v>74</v>
      </c>
      <c r="T182" t="s">
        <v>2842</v>
      </c>
      <c r="U182" t="s">
        <v>2843</v>
      </c>
      <c r="V182" t="s">
        <v>2844</v>
      </c>
      <c r="W182" t="s">
        <v>2845</v>
      </c>
      <c r="X182" t="s">
        <v>2846</v>
      </c>
      <c r="Y182" t="s">
        <v>2847</v>
      </c>
      <c r="Z182" t="s">
        <v>2848</v>
      </c>
      <c r="AA182" t="s">
        <v>2849</v>
      </c>
      <c r="AB182" t="s">
        <v>2850</v>
      </c>
      <c r="AC182" t="s">
        <v>74</v>
      </c>
      <c r="AD182" t="s">
        <v>74</v>
      </c>
      <c r="AE182" t="s">
        <v>74</v>
      </c>
      <c r="AF182" t="s">
        <v>74</v>
      </c>
      <c r="AG182">
        <v>49</v>
      </c>
      <c r="AH182">
        <v>52</v>
      </c>
      <c r="AI182">
        <v>57</v>
      </c>
      <c r="AJ182">
        <v>0</v>
      </c>
      <c r="AK182">
        <v>5</v>
      </c>
      <c r="AL182" t="s">
        <v>394</v>
      </c>
      <c r="AM182" t="s">
        <v>395</v>
      </c>
      <c r="AN182" t="s">
        <v>396</v>
      </c>
      <c r="AO182" t="s">
        <v>2851</v>
      </c>
      <c r="AP182" t="s">
        <v>2852</v>
      </c>
      <c r="AQ182" t="s">
        <v>74</v>
      </c>
      <c r="AR182" t="s">
        <v>2853</v>
      </c>
      <c r="AS182" t="s">
        <v>2854</v>
      </c>
      <c r="AT182" t="s">
        <v>2208</v>
      </c>
      <c r="AU182">
        <v>2002</v>
      </c>
      <c r="AV182">
        <v>17</v>
      </c>
      <c r="AW182">
        <v>4</v>
      </c>
      <c r="AX182" t="s">
        <v>74</v>
      </c>
      <c r="AY182" t="s">
        <v>74</v>
      </c>
      <c r="AZ182" t="s">
        <v>74</v>
      </c>
      <c r="BA182" t="s">
        <v>74</v>
      </c>
      <c r="BB182">
        <v>361</v>
      </c>
      <c r="BC182">
        <v>382</v>
      </c>
      <c r="BD182" t="s">
        <v>74</v>
      </c>
      <c r="BE182" t="s">
        <v>2855</v>
      </c>
      <c r="BF182" t="str">
        <f>HYPERLINK("http://dx.doi.org/10.1002/jqs.677","http://dx.doi.org/10.1002/jqs.677")</f>
        <v>http://dx.doi.org/10.1002/jqs.677</v>
      </c>
      <c r="BG182" t="s">
        <v>74</v>
      </c>
      <c r="BH182" t="s">
        <v>74</v>
      </c>
      <c r="BI182">
        <v>22</v>
      </c>
      <c r="BJ182" t="s">
        <v>1218</v>
      </c>
      <c r="BK182" t="s">
        <v>170</v>
      </c>
      <c r="BL182" t="s">
        <v>224</v>
      </c>
      <c r="BM182" t="s">
        <v>2856</v>
      </c>
      <c r="BN182" t="s">
        <v>74</v>
      </c>
      <c r="BO182" t="s">
        <v>74</v>
      </c>
      <c r="BP182" t="s">
        <v>74</v>
      </c>
      <c r="BQ182" t="s">
        <v>74</v>
      </c>
      <c r="BR182" t="s">
        <v>107</v>
      </c>
      <c r="BS182" t="s">
        <v>2857</v>
      </c>
      <c r="BT182" t="str">
        <f>HYPERLINK("https%3A%2F%2Fwww.webofscience.com%2Fwos%2Fwoscc%2Ffull-record%2FWOS:000177142100007","View Full Record in Web of Science")</f>
        <v>View Full Record in Web of Science</v>
      </c>
    </row>
    <row r="183" spans="1:72" x14ac:dyDescent="0.15">
      <c r="A183" t="s">
        <v>72</v>
      </c>
      <c r="B183" t="s">
        <v>2858</v>
      </c>
      <c r="C183" t="s">
        <v>74</v>
      </c>
      <c r="D183" t="s">
        <v>74</v>
      </c>
      <c r="E183" t="s">
        <v>74</v>
      </c>
      <c r="F183" t="s">
        <v>2858</v>
      </c>
      <c r="G183" t="s">
        <v>74</v>
      </c>
      <c r="H183" t="s">
        <v>74</v>
      </c>
      <c r="I183" t="s">
        <v>2859</v>
      </c>
      <c r="J183" t="s">
        <v>2860</v>
      </c>
      <c r="K183" t="s">
        <v>74</v>
      </c>
      <c r="L183" t="s">
        <v>74</v>
      </c>
      <c r="M183" t="s">
        <v>77</v>
      </c>
      <c r="N183" t="s">
        <v>153</v>
      </c>
      <c r="O183" t="s">
        <v>74</v>
      </c>
      <c r="P183" t="s">
        <v>74</v>
      </c>
      <c r="Q183" t="s">
        <v>74</v>
      </c>
      <c r="R183" t="s">
        <v>74</v>
      </c>
      <c r="S183" t="s">
        <v>74</v>
      </c>
      <c r="T183" t="s">
        <v>2861</v>
      </c>
      <c r="U183" t="s">
        <v>2862</v>
      </c>
      <c r="V183" t="s">
        <v>2863</v>
      </c>
      <c r="W183" t="s">
        <v>2466</v>
      </c>
      <c r="X183" t="s">
        <v>852</v>
      </c>
      <c r="Y183" t="s">
        <v>300</v>
      </c>
      <c r="Z183" t="s">
        <v>2864</v>
      </c>
      <c r="AA183" t="s">
        <v>2865</v>
      </c>
      <c r="AB183" t="s">
        <v>74</v>
      </c>
      <c r="AC183" t="s">
        <v>74</v>
      </c>
      <c r="AD183" t="s">
        <v>74</v>
      </c>
      <c r="AE183" t="s">
        <v>74</v>
      </c>
      <c r="AF183" t="s">
        <v>74</v>
      </c>
      <c r="AG183">
        <v>31</v>
      </c>
      <c r="AH183">
        <v>83</v>
      </c>
      <c r="AI183">
        <v>96</v>
      </c>
      <c r="AJ183">
        <v>1</v>
      </c>
      <c r="AK183">
        <v>11</v>
      </c>
      <c r="AL183" t="s">
        <v>2866</v>
      </c>
      <c r="AM183" t="s">
        <v>2867</v>
      </c>
      <c r="AN183" t="s">
        <v>2868</v>
      </c>
      <c r="AO183" t="s">
        <v>2869</v>
      </c>
      <c r="AP183" t="s">
        <v>2870</v>
      </c>
      <c r="AQ183" t="s">
        <v>74</v>
      </c>
      <c r="AR183" t="s">
        <v>2871</v>
      </c>
      <c r="AS183" t="s">
        <v>2872</v>
      </c>
      <c r="AT183" t="s">
        <v>2208</v>
      </c>
      <c r="AU183">
        <v>2002</v>
      </c>
      <c r="AV183">
        <v>159</v>
      </c>
      <c r="AW183" t="s">
        <v>74</v>
      </c>
      <c r="AX183">
        <v>3</v>
      </c>
      <c r="AY183" t="s">
        <v>74</v>
      </c>
      <c r="AZ183" t="s">
        <v>74</v>
      </c>
      <c r="BA183" t="s">
        <v>74</v>
      </c>
      <c r="BB183">
        <v>233</v>
      </c>
      <c r="BC183">
        <v>237</v>
      </c>
      <c r="BD183" t="s">
        <v>74</v>
      </c>
      <c r="BE183" t="s">
        <v>2873</v>
      </c>
      <c r="BF183" t="str">
        <f>HYPERLINK("http://dx.doi.org/10.1144/0016-764901-125","http://dx.doi.org/10.1144/0016-764901-125")</f>
        <v>http://dx.doi.org/10.1144/0016-764901-125</v>
      </c>
      <c r="BG183" t="s">
        <v>74</v>
      </c>
      <c r="BH183" t="s">
        <v>74</v>
      </c>
      <c r="BI183">
        <v>5</v>
      </c>
      <c r="BJ183" t="s">
        <v>608</v>
      </c>
      <c r="BK183" t="s">
        <v>170</v>
      </c>
      <c r="BL183" t="s">
        <v>439</v>
      </c>
      <c r="BM183" t="s">
        <v>2874</v>
      </c>
      <c r="BN183" t="s">
        <v>74</v>
      </c>
      <c r="BO183" t="s">
        <v>74</v>
      </c>
      <c r="BP183" t="s">
        <v>74</v>
      </c>
      <c r="BQ183" t="s">
        <v>74</v>
      </c>
      <c r="BR183" t="s">
        <v>107</v>
      </c>
      <c r="BS183" t="s">
        <v>2875</v>
      </c>
      <c r="BT183" t="str">
        <f>HYPERLINK("https%3A%2F%2Fwww.webofscience.com%2Fwos%2Fwoscc%2Ffull-record%2FWOS:000175323800003","View Full Record in Web of Science")</f>
        <v>View Full Record in Web of Science</v>
      </c>
    </row>
    <row r="184" spans="1:72" x14ac:dyDescent="0.15">
      <c r="A184" t="s">
        <v>72</v>
      </c>
      <c r="B184" t="s">
        <v>2876</v>
      </c>
      <c r="C184" t="s">
        <v>74</v>
      </c>
      <c r="D184" t="s">
        <v>74</v>
      </c>
      <c r="E184" t="s">
        <v>74</v>
      </c>
      <c r="F184" t="s">
        <v>2876</v>
      </c>
      <c r="G184" t="s">
        <v>74</v>
      </c>
      <c r="H184" t="s">
        <v>74</v>
      </c>
      <c r="I184" t="s">
        <v>2877</v>
      </c>
      <c r="J184" t="s">
        <v>2878</v>
      </c>
      <c r="K184" t="s">
        <v>74</v>
      </c>
      <c r="L184" t="s">
        <v>74</v>
      </c>
      <c r="M184" t="s">
        <v>77</v>
      </c>
      <c r="N184" t="s">
        <v>153</v>
      </c>
      <c r="O184" t="s">
        <v>74</v>
      </c>
      <c r="P184" t="s">
        <v>74</v>
      </c>
      <c r="Q184" t="s">
        <v>74</v>
      </c>
      <c r="R184" t="s">
        <v>74</v>
      </c>
      <c r="S184" t="s">
        <v>74</v>
      </c>
      <c r="T184" t="s">
        <v>74</v>
      </c>
      <c r="U184" t="s">
        <v>2879</v>
      </c>
      <c r="V184" t="s">
        <v>2880</v>
      </c>
      <c r="W184" t="s">
        <v>2881</v>
      </c>
      <c r="X184" t="s">
        <v>2882</v>
      </c>
      <c r="Y184" t="s">
        <v>2883</v>
      </c>
      <c r="Z184" t="s">
        <v>74</v>
      </c>
      <c r="AA184" t="s">
        <v>2884</v>
      </c>
      <c r="AB184" t="s">
        <v>2885</v>
      </c>
      <c r="AC184" t="s">
        <v>74</v>
      </c>
      <c r="AD184" t="s">
        <v>74</v>
      </c>
      <c r="AE184" t="s">
        <v>74</v>
      </c>
      <c r="AF184" t="s">
        <v>74</v>
      </c>
      <c r="AG184">
        <v>56</v>
      </c>
      <c r="AH184">
        <v>96</v>
      </c>
      <c r="AI184">
        <v>100</v>
      </c>
      <c r="AJ184">
        <v>0</v>
      </c>
      <c r="AK184">
        <v>17</v>
      </c>
      <c r="AL184" t="s">
        <v>2886</v>
      </c>
      <c r="AM184" t="s">
        <v>2887</v>
      </c>
      <c r="AN184" t="s">
        <v>2888</v>
      </c>
      <c r="AO184" t="s">
        <v>2889</v>
      </c>
      <c r="AP184" t="s">
        <v>74</v>
      </c>
      <c r="AQ184" t="s">
        <v>74</v>
      </c>
      <c r="AR184" t="s">
        <v>2890</v>
      </c>
      <c r="AS184" t="s">
        <v>2891</v>
      </c>
      <c r="AT184" t="s">
        <v>2208</v>
      </c>
      <c r="AU184">
        <v>2002</v>
      </c>
      <c r="AV184">
        <v>47</v>
      </c>
      <c r="AW184">
        <v>3</v>
      </c>
      <c r="AX184" t="s">
        <v>74</v>
      </c>
      <c r="AY184" t="s">
        <v>74</v>
      </c>
      <c r="AZ184" t="s">
        <v>74</v>
      </c>
      <c r="BA184" t="s">
        <v>74</v>
      </c>
      <c r="BB184">
        <v>636</v>
      </c>
      <c r="BC184">
        <v>645</v>
      </c>
      <c r="BD184" t="s">
        <v>74</v>
      </c>
      <c r="BE184" t="s">
        <v>2892</v>
      </c>
      <c r="BF184" t="str">
        <f>HYPERLINK("http://dx.doi.org/10.4319/lo.2002.47.3.0636","http://dx.doi.org/10.4319/lo.2002.47.3.0636")</f>
        <v>http://dx.doi.org/10.4319/lo.2002.47.3.0636</v>
      </c>
      <c r="BG184" t="s">
        <v>74</v>
      </c>
      <c r="BH184" t="s">
        <v>74</v>
      </c>
      <c r="BI184">
        <v>10</v>
      </c>
      <c r="BJ184" t="s">
        <v>2893</v>
      </c>
      <c r="BK184" t="s">
        <v>170</v>
      </c>
      <c r="BL184" t="s">
        <v>1394</v>
      </c>
      <c r="BM184" t="s">
        <v>2894</v>
      </c>
      <c r="BN184" t="s">
        <v>74</v>
      </c>
      <c r="BO184" t="s">
        <v>1767</v>
      </c>
      <c r="BP184" t="s">
        <v>74</v>
      </c>
      <c r="BQ184" t="s">
        <v>74</v>
      </c>
      <c r="BR184" t="s">
        <v>107</v>
      </c>
      <c r="BS184" t="s">
        <v>2895</v>
      </c>
      <c r="BT184" t="str">
        <f>HYPERLINK("https%3A%2F%2Fwww.webofscience.com%2Fwos%2Fwoscc%2Ffull-record%2FWOS:000175554700003","View Full Record in Web of Science")</f>
        <v>View Full Record in Web of Science</v>
      </c>
    </row>
    <row r="185" spans="1:72" x14ac:dyDescent="0.15">
      <c r="A185" t="s">
        <v>72</v>
      </c>
      <c r="B185" t="s">
        <v>2896</v>
      </c>
      <c r="C185" t="s">
        <v>74</v>
      </c>
      <c r="D185" t="s">
        <v>74</v>
      </c>
      <c r="E185" t="s">
        <v>74</v>
      </c>
      <c r="F185" t="s">
        <v>2896</v>
      </c>
      <c r="G185" t="s">
        <v>74</v>
      </c>
      <c r="H185" t="s">
        <v>74</v>
      </c>
      <c r="I185" t="s">
        <v>2897</v>
      </c>
      <c r="J185" t="s">
        <v>2878</v>
      </c>
      <c r="K185" t="s">
        <v>74</v>
      </c>
      <c r="L185" t="s">
        <v>74</v>
      </c>
      <c r="M185" t="s">
        <v>77</v>
      </c>
      <c r="N185" t="s">
        <v>153</v>
      </c>
      <c r="O185" t="s">
        <v>74</v>
      </c>
      <c r="P185" t="s">
        <v>74</v>
      </c>
      <c r="Q185" t="s">
        <v>74</v>
      </c>
      <c r="R185" t="s">
        <v>74</v>
      </c>
      <c r="S185" t="s">
        <v>74</v>
      </c>
      <c r="T185" t="s">
        <v>74</v>
      </c>
      <c r="U185" t="s">
        <v>2898</v>
      </c>
      <c r="V185" t="s">
        <v>2899</v>
      </c>
      <c r="W185" t="s">
        <v>2900</v>
      </c>
      <c r="X185" t="s">
        <v>2901</v>
      </c>
      <c r="Y185" t="s">
        <v>2902</v>
      </c>
      <c r="Z185" t="s">
        <v>74</v>
      </c>
      <c r="AA185" t="s">
        <v>2903</v>
      </c>
      <c r="AB185" t="s">
        <v>2904</v>
      </c>
      <c r="AC185" t="s">
        <v>74</v>
      </c>
      <c r="AD185" t="s">
        <v>74</v>
      </c>
      <c r="AE185" t="s">
        <v>74</v>
      </c>
      <c r="AF185" t="s">
        <v>74</v>
      </c>
      <c r="AG185">
        <v>39</v>
      </c>
      <c r="AH185">
        <v>54</v>
      </c>
      <c r="AI185">
        <v>57</v>
      </c>
      <c r="AJ185">
        <v>1</v>
      </c>
      <c r="AK185">
        <v>24</v>
      </c>
      <c r="AL185" t="s">
        <v>394</v>
      </c>
      <c r="AM185" t="s">
        <v>395</v>
      </c>
      <c r="AN185" t="s">
        <v>396</v>
      </c>
      <c r="AO185" t="s">
        <v>2889</v>
      </c>
      <c r="AP185" t="s">
        <v>2905</v>
      </c>
      <c r="AQ185" t="s">
        <v>74</v>
      </c>
      <c r="AR185" t="s">
        <v>2890</v>
      </c>
      <c r="AS185" t="s">
        <v>2891</v>
      </c>
      <c r="AT185" t="s">
        <v>2208</v>
      </c>
      <c r="AU185">
        <v>2002</v>
      </c>
      <c r="AV185">
        <v>47</v>
      </c>
      <c r="AW185">
        <v>3</v>
      </c>
      <c r="AX185" t="s">
        <v>74</v>
      </c>
      <c r="AY185" t="s">
        <v>74</v>
      </c>
      <c r="AZ185" t="s">
        <v>74</v>
      </c>
      <c r="BA185" t="s">
        <v>74</v>
      </c>
      <c r="BB185">
        <v>829</v>
      </c>
      <c r="BC185">
        <v>836</v>
      </c>
      <c r="BD185" t="s">
        <v>74</v>
      </c>
      <c r="BE185" t="s">
        <v>2906</v>
      </c>
      <c r="BF185" t="str">
        <f>HYPERLINK("http://dx.doi.org/10.4319/lo.2002.47.3.0829","http://dx.doi.org/10.4319/lo.2002.47.3.0829")</f>
        <v>http://dx.doi.org/10.4319/lo.2002.47.3.0829</v>
      </c>
      <c r="BG185" t="s">
        <v>74</v>
      </c>
      <c r="BH185" t="s">
        <v>74</v>
      </c>
      <c r="BI185">
        <v>8</v>
      </c>
      <c r="BJ185" t="s">
        <v>2893</v>
      </c>
      <c r="BK185" t="s">
        <v>170</v>
      </c>
      <c r="BL185" t="s">
        <v>1394</v>
      </c>
      <c r="BM185" t="s">
        <v>2894</v>
      </c>
      <c r="BN185" t="s">
        <v>74</v>
      </c>
      <c r="BO185" t="s">
        <v>74</v>
      </c>
      <c r="BP185" t="s">
        <v>74</v>
      </c>
      <c r="BQ185" t="s">
        <v>74</v>
      </c>
      <c r="BR185" t="s">
        <v>107</v>
      </c>
      <c r="BS185" t="s">
        <v>2907</v>
      </c>
      <c r="BT185" t="str">
        <f>HYPERLINK("https%3A%2F%2Fwww.webofscience.com%2Fwos%2Fwoscc%2Ffull-record%2FWOS:000175554700019","View Full Record in Web of Science")</f>
        <v>View Full Record in Web of Science</v>
      </c>
    </row>
    <row r="186" spans="1:72" x14ac:dyDescent="0.15">
      <c r="A186" t="s">
        <v>72</v>
      </c>
      <c r="B186" t="s">
        <v>2908</v>
      </c>
      <c r="C186" t="s">
        <v>74</v>
      </c>
      <c r="D186" t="s">
        <v>74</v>
      </c>
      <c r="E186" t="s">
        <v>74</v>
      </c>
      <c r="F186" t="s">
        <v>2908</v>
      </c>
      <c r="G186" t="s">
        <v>74</v>
      </c>
      <c r="H186" t="s">
        <v>74</v>
      </c>
      <c r="I186" t="s">
        <v>2909</v>
      </c>
      <c r="J186" t="s">
        <v>1711</v>
      </c>
      <c r="K186" t="s">
        <v>74</v>
      </c>
      <c r="L186" t="s">
        <v>74</v>
      </c>
      <c r="M186" t="s">
        <v>77</v>
      </c>
      <c r="N186" t="s">
        <v>153</v>
      </c>
      <c r="O186" t="s">
        <v>74</v>
      </c>
      <c r="P186" t="s">
        <v>74</v>
      </c>
      <c r="Q186" t="s">
        <v>74</v>
      </c>
      <c r="R186" t="s">
        <v>74</v>
      </c>
      <c r="S186" t="s">
        <v>74</v>
      </c>
      <c r="T186" t="s">
        <v>2910</v>
      </c>
      <c r="U186" t="s">
        <v>2911</v>
      </c>
      <c r="V186" t="s">
        <v>2912</v>
      </c>
      <c r="W186" t="s">
        <v>851</v>
      </c>
      <c r="X186" t="s">
        <v>852</v>
      </c>
      <c r="Y186" t="s">
        <v>2913</v>
      </c>
      <c r="Z186" t="s">
        <v>74</v>
      </c>
      <c r="AA186" t="s">
        <v>74</v>
      </c>
      <c r="AB186" t="s">
        <v>74</v>
      </c>
      <c r="AC186" t="s">
        <v>74</v>
      </c>
      <c r="AD186" t="s">
        <v>74</v>
      </c>
      <c r="AE186" t="s">
        <v>74</v>
      </c>
      <c r="AF186" t="s">
        <v>74</v>
      </c>
      <c r="AG186">
        <v>30</v>
      </c>
      <c r="AH186">
        <v>17</v>
      </c>
      <c r="AI186">
        <v>17</v>
      </c>
      <c r="AJ186">
        <v>0</v>
      </c>
      <c r="AK186">
        <v>0</v>
      </c>
      <c r="AL186" t="s">
        <v>894</v>
      </c>
      <c r="AM186" t="s">
        <v>895</v>
      </c>
      <c r="AN186" t="s">
        <v>896</v>
      </c>
      <c r="AO186" t="s">
        <v>1721</v>
      </c>
      <c r="AP186" t="s">
        <v>74</v>
      </c>
      <c r="AQ186" t="s">
        <v>74</v>
      </c>
      <c r="AR186" t="s">
        <v>1723</v>
      </c>
      <c r="AS186" t="s">
        <v>1724</v>
      </c>
      <c r="AT186" t="s">
        <v>2208</v>
      </c>
      <c r="AU186">
        <v>2002</v>
      </c>
      <c r="AV186">
        <v>53</v>
      </c>
      <c r="AW186">
        <v>4</v>
      </c>
      <c r="AX186" t="s">
        <v>74</v>
      </c>
      <c r="AY186" t="s">
        <v>74</v>
      </c>
      <c r="AZ186" t="s">
        <v>74</v>
      </c>
      <c r="BA186" t="s">
        <v>74</v>
      </c>
      <c r="BB186">
        <v>403</v>
      </c>
      <c r="BC186">
        <v>415</v>
      </c>
      <c r="BD186" t="s">
        <v>2914</v>
      </c>
      <c r="BE186" t="s">
        <v>2915</v>
      </c>
      <c r="BF186" t="str">
        <f>HYPERLINK("http://dx.doi.org/10.1016/S0141-1136(01)00127-1","http://dx.doi.org/10.1016/S0141-1136(01)00127-1")</f>
        <v>http://dx.doi.org/10.1016/S0141-1136(01)00127-1</v>
      </c>
      <c r="BG186" t="s">
        <v>74</v>
      </c>
      <c r="BH186" t="s">
        <v>74</v>
      </c>
      <c r="BI186">
        <v>13</v>
      </c>
      <c r="BJ186" t="s">
        <v>1727</v>
      </c>
      <c r="BK186" t="s">
        <v>170</v>
      </c>
      <c r="BL186" t="s">
        <v>1728</v>
      </c>
      <c r="BM186" t="s">
        <v>2916</v>
      </c>
      <c r="BN186">
        <v>11991210</v>
      </c>
      <c r="BO186" t="s">
        <v>74</v>
      </c>
      <c r="BP186" t="s">
        <v>74</v>
      </c>
      <c r="BQ186" t="s">
        <v>74</v>
      </c>
      <c r="BR186" t="s">
        <v>107</v>
      </c>
      <c r="BS186" t="s">
        <v>2917</v>
      </c>
      <c r="BT186" t="str">
        <f>HYPERLINK("https%3A%2F%2Fwww.webofscience.com%2Fwos%2Fwoscc%2Ffull-record%2FWOS:000174864000004","View Full Record in Web of Science")</f>
        <v>View Full Record in Web of Science</v>
      </c>
    </row>
    <row r="187" spans="1:72" x14ac:dyDescent="0.15">
      <c r="A187" t="s">
        <v>72</v>
      </c>
      <c r="B187" t="s">
        <v>2918</v>
      </c>
      <c r="C187" t="s">
        <v>74</v>
      </c>
      <c r="D187" t="s">
        <v>74</v>
      </c>
      <c r="E187" t="s">
        <v>74</v>
      </c>
      <c r="F187" t="s">
        <v>2918</v>
      </c>
      <c r="G187" t="s">
        <v>74</v>
      </c>
      <c r="H187" t="s">
        <v>74</v>
      </c>
      <c r="I187" t="s">
        <v>2919</v>
      </c>
      <c r="J187" t="s">
        <v>2920</v>
      </c>
      <c r="K187" t="s">
        <v>74</v>
      </c>
      <c r="L187" t="s">
        <v>74</v>
      </c>
      <c r="M187" t="s">
        <v>77</v>
      </c>
      <c r="N187" t="s">
        <v>153</v>
      </c>
      <c r="O187" t="s">
        <v>74</v>
      </c>
      <c r="P187" t="s">
        <v>74</v>
      </c>
      <c r="Q187" t="s">
        <v>74</v>
      </c>
      <c r="R187" t="s">
        <v>74</v>
      </c>
      <c r="S187" t="s">
        <v>74</v>
      </c>
      <c r="T187" t="s">
        <v>74</v>
      </c>
      <c r="U187" t="s">
        <v>2921</v>
      </c>
      <c r="V187" t="s">
        <v>74</v>
      </c>
      <c r="W187" t="s">
        <v>2922</v>
      </c>
      <c r="X187" t="s">
        <v>2923</v>
      </c>
      <c r="Y187" t="s">
        <v>2924</v>
      </c>
      <c r="Z187" t="s">
        <v>2925</v>
      </c>
      <c r="AA187" t="s">
        <v>74</v>
      </c>
      <c r="AB187" t="s">
        <v>74</v>
      </c>
      <c r="AC187" t="s">
        <v>74</v>
      </c>
      <c r="AD187" t="s">
        <v>74</v>
      </c>
      <c r="AE187" t="s">
        <v>74</v>
      </c>
      <c r="AF187" t="s">
        <v>74</v>
      </c>
      <c r="AG187">
        <v>54</v>
      </c>
      <c r="AH187">
        <v>39</v>
      </c>
      <c r="AI187">
        <v>41</v>
      </c>
      <c r="AJ187">
        <v>0</v>
      </c>
      <c r="AK187">
        <v>12</v>
      </c>
      <c r="AL187" t="s">
        <v>1013</v>
      </c>
      <c r="AM187" t="s">
        <v>895</v>
      </c>
      <c r="AN187" t="s">
        <v>1014</v>
      </c>
      <c r="AO187" t="s">
        <v>2926</v>
      </c>
      <c r="AP187" t="s">
        <v>2927</v>
      </c>
      <c r="AQ187" t="s">
        <v>74</v>
      </c>
      <c r="AR187" t="s">
        <v>2928</v>
      </c>
      <c r="AS187" t="s">
        <v>2929</v>
      </c>
      <c r="AT187" t="s">
        <v>2208</v>
      </c>
      <c r="AU187">
        <v>2002</v>
      </c>
      <c r="AV187">
        <v>44</v>
      </c>
      <c r="AW187">
        <v>5</v>
      </c>
      <c r="AX187" t="s">
        <v>74</v>
      </c>
      <c r="AY187" t="s">
        <v>74</v>
      </c>
      <c r="AZ187" t="s">
        <v>74</v>
      </c>
      <c r="BA187" t="s">
        <v>74</v>
      </c>
      <c r="BB187">
        <v>424</v>
      </c>
      <c r="BC187">
        <v>431</v>
      </c>
      <c r="BD187" t="s">
        <v>2930</v>
      </c>
      <c r="BE187" t="s">
        <v>2931</v>
      </c>
      <c r="BF187" t="str">
        <f>HYPERLINK("http://dx.doi.org/10.1016/S0025-326X(01)00297-1","http://dx.doi.org/10.1016/S0025-326X(01)00297-1")</f>
        <v>http://dx.doi.org/10.1016/S0025-326X(01)00297-1</v>
      </c>
      <c r="BG187" t="s">
        <v>74</v>
      </c>
      <c r="BH187" t="s">
        <v>74</v>
      </c>
      <c r="BI187">
        <v>8</v>
      </c>
      <c r="BJ187" t="s">
        <v>2932</v>
      </c>
      <c r="BK187" t="s">
        <v>170</v>
      </c>
      <c r="BL187" t="s">
        <v>2933</v>
      </c>
      <c r="BM187" t="s">
        <v>2934</v>
      </c>
      <c r="BN187">
        <v>12146826</v>
      </c>
      <c r="BO187" t="s">
        <v>74</v>
      </c>
      <c r="BP187" t="s">
        <v>74</v>
      </c>
      <c r="BQ187" t="s">
        <v>74</v>
      </c>
      <c r="BR187" t="s">
        <v>107</v>
      </c>
      <c r="BS187" t="s">
        <v>2935</v>
      </c>
      <c r="BT187" t="str">
        <f>HYPERLINK("https%3A%2F%2Fwww.webofscience.com%2Fwos%2Fwoscc%2Ffull-record%2FWOS:000176654600019","View Full Record in Web of Science")</f>
        <v>View Full Record in Web of Science</v>
      </c>
    </row>
    <row r="188" spans="1:72" x14ac:dyDescent="0.15">
      <c r="A188" t="s">
        <v>72</v>
      </c>
      <c r="B188" t="s">
        <v>2936</v>
      </c>
      <c r="C188" t="s">
        <v>74</v>
      </c>
      <c r="D188" t="s">
        <v>74</v>
      </c>
      <c r="E188" t="s">
        <v>74</v>
      </c>
      <c r="F188" t="s">
        <v>2936</v>
      </c>
      <c r="G188" t="s">
        <v>74</v>
      </c>
      <c r="H188" t="s">
        <v>74</v>
      </c>
      <c r="I188" t="s">
        <v>2937</v>
      </c>
      <c r="J188" t="s">
        <v>2938</v>
      </c>
      <c r="K188" t="s">
        <v>74</v>
      </c>
      <c r="L188" t="s">
        <v>74</v>
      </c>
      <c r="M188" t="s">
        <v>77</v>
      </c>
      <c r="N188" t="s">
        <v>153</v>
      </c>
      <c r="O188" t="s">
        <v>74</v>
      </c>
      <c r="P188" t="s">
        <v>74</v>
      </c>
      <c r="Q188" t="s">
        <v>74</v>
      </c>
      <c r="R188" t="s">
        <v>74</v>
      </c>
      <c r="S188" t="s">
        <v>74</v>
      </c>
      <c r="T188" t="s">
        <v>74</v>
      </c>
      <c r="U188" t="s">
        <v>2939</v>
      </c>
      <c r="V188" t="s">
        <v>2940</v>
      </c>
      <c r="W188" t="s">
        <v>2941</v>
      </c>
      <c r="X188" t="s">
        <v>2942</v>
      </c>
      <c r="Y188" t="s">
        <v>2943</v>
      </c>
      <c r="Z188" t="s">
        <v>74</v>
      </c>
      <c r="AA188" t="s">
        <v>74</v>
      </c>
      <c r="AB188" t="s">
        <v>74</v>
      </c>
      <c r="AC188" t="s">
        <v>74</v>
      </c>
      <c r="AD188" t="s">
        <v>74</v>
      </c>
      <c r="AE188" t="s">
        <v>74</v>
      </c>
      <c r="AF188" t="s">
        <v>74</v>
      </c>
      <c r="AG188">
        <v>13</v>
      </c>
      <c r="AH188">
        <v>0</v>
      </c>
      <c r="AI188">
        <v>0</v>
      </c>
      <c r="AJ188">
        <v>0</v>
      </c>
      <c r="AK188">
        <v>3</v>
      </c>
      <c r="AL188" t="s">
        <v>1179</v>
      </c>
      <c r="AM188" t="s">
        <v>1180</v>
      </c>
      <c r="AN188" t="s">
        <v>1181</v>
      </c>
      <c r="AO188" t="s">
        <v>2944</v>
      </c>
      <c r="AP188" t="s">
        <v>74</v>
      </c>
      <c r="AQ188" t="s">
        <v>74</v>
      </c>
      <c r="AR188" t="s">
        <v>2945</v>
      </c>
      <c r="AS188" t="s">
        <v>2946</v>
      </c>
      <c r="AT188" t="s">
        <v>2354</v>
      </c>
      <c r="AU188">
        <v>2002</v>
      </c>
      <c r="AV188">
        <v>42</v>
      </c>
      <c r="AW188">
        <v>3</v>
      </c>
      <c r="AX188" t="s">
        <v>74</v>
      </c>
      <c r="AY188" t="s">
        <v>74</v>
      </c>
      <c r="AZ188" t="s">
        <v>74</v>
      </c>
      <c r="BA188" t="s">
        <v>74</v>
      </c>
      <c r="BB188">
        <v>305</v>
      </c>
      <c r="BC188">
        <v>316</v>
      </c>
      <c r="BD188" t="s">
        <v>74</v>
      </c>
      <c r="BE188" t="s">
        <v>74</v>
      </c>
      <c r="BF188" t="s">
        <v>74</v>
      </c>
      <c r="BG188" t="s">
        <v>74</v>
      </c>
      <c r="BH188" t="s">
        <v>74</v>
      </c>
      <c r="BI188">
        <v>12</v>
      </c>
      <c r="BJ188" t="s">
        <v>1155</v>
      </c>
      <c r="BK188" t="s">
        <v>170</v>
      </c>
      <c r="BL188" t="s">
        <v>1155</v>
      </c>
      <c r="BM188" t="s">
        <v>2947</v>
      </c>
      <c r="BN188" t="s">
        <v>74</v>
      </c>
      <c r="BO188" t="s">
        <v>74</v>
      </c>
      <c r="BP188" t="s">
        <v>74</v>
      </c>
      <c r="BQ188" t="s">
        <v>74</v>
      </c>
      <c r="BR188" t="s">
        <v>107</v>
      </c>
      <c r="BS188" t="s">
        <v>2948</v>
      </c>
      <c r="BT188" t="str">
        <f>HYPERLINK("https%3A%2F%2Fwww.webofscience.com%2Fwos%2Fwoscc%2Ffull-record%2FWOS:000176752800001","View Full Record in Web of Science")</f>
        <v>View Full Record in Web of Science</v>
      </c>
    </row>
    <row r="189" spans="1:72" x14ac:dyDescent="0.15">
      <c r="A189" t="s">
        <v>72</v>
      </c>
      <c r="B189" t="s">
        <v>2949</v>
      </c>
      <c r="C189" t="s">
        <v>74</v>
      </c>
      <c r="D189" t="s">
        <v>74</v>
      </c>
      <c r="E189" t="s">
        <v>74</v>
      </c>
      <c r="F189" t="s">
        <v>2949</v>
      </c>
      <c r="G189" t="s">
        <v>74</v>
      </c>
      <c r="H189" t="s">
        <v>74</v>
      </c>
      <c r="I189" t="s">
        <v>2950</v>
      </c>
      <c r="J189" t="s">
        <v>2938</v>
      </c>
      <c r="K189" t="s">
        <v>74</v>
      </c>
      <c r="L189" t="s">
        <v>74</v>
      </c>
      <c r="M189" t="s">
        <v>77</v>
      </c>
      <c r="N189" t="s">
        <v>153</v>
      </c>
      <c r="O189" t="s">
        <v>74</v>
      </c>
      <c r="P189" t="s">
        <v>74</v>
      </c>
      <c r="Q189" t="s">
        <v>74</v>
      </c>
      <c r="R189" t="s">
        <v>74</v>
      </c>
      <c r="S189" t="s">
        <v>74</v>
      </c>
      <c r="T189" t="s">
        <v>74</v>
      </c>
      <c r="U189" t="s">
        <v>2951</v>
      </c>
      <c r="V189" t="s">
        <v>2952</v>
      </c>
      <c r="W189" t="s">
        <v>2953</v>
      </c>
      <c r="X189" t="s">
        <v>2954</v>
      </c>
      <c r="Y189" t="s">
        <v>2955</v>
      </c>
      <c r="Z189" t="s">
        <v>74</v>
      </c>
      <c r="AA189" t="s">
        <v>74</v>
      </c>
      <c r="AB189" t="s">
        <v>74</v>
      </c>
      <c r="AC189" t="s">
        <v>74</v>
      </c>
      <c r="AD189" t="s">
        <v>74</v>
      </c>
      <c r="AE189" t="s">
        <v>74</v>
      </c>
      <c r="AF189" t="s">
        <v>74</v>
      </c>
      <c r="AG189">
        <v>32</v>
      </c>
      <c r="AH189">
        <v>0</v>
      </c>
      <c r="AI189">
        <v>0</v>
      </c>
      <c r="AJ189">
        <v>0</v>
      </c>
      <c r="AK189">
        <v>2</v>
      </c>
      <c r="AL189" t="s">
        <v>1197</v>
      </c>
      <c r="AM189" t="s">
        <v>195</v>
      </c>
      <c r="AN189" t="s">
        <v>1198</v>
      </c>
      <c r="AO189" t="s">
        <v>2944</v>
      </c>
      <c r="AP189" t="s">
        <v>2956</v>
      </c>
      <c r="AQ189" t="s">
        <v>74</v>
      </c>
      <c r="AR189" t="s">
        <v>2945</v>
      </c>
      <c r="AS189" t="s">
        <v>2946</v>
      </c>
      <c r="AT189" t="s">
        <v>2354</v>
      </c>
      <c r="AU189">
        <v>2002</v>
      </c>
      <c r="AV189">
        <v>42</v>
      </c>
      <c r="AW189">
        <v>3</v>
      </c>
      <c r="AX189" t="s">
        <v>74</v>
      </c>
      <c r="AY189" t="s">
        <v>74</v>
      </c>
      <c r="AZ189" t="s">
        <v>74</v>
      </c>
      <c r="BA189" t="s">
        <v>74</v>
      </c>
      <c r="BB189">
        <v>422</v>
      </c>
      <c r="BC189">
        <v>429</v>
      </c>
      <c r="BD189" t="s">
        <v>74</v>
      </c>
      <c r="BE189" t="s">
        <v>74</v>
      </c>
      <c r="BF189" t="s">
        <v>74</v>
      </c>
      <c r="BG189" t="s">
        <v>74</v>
      </c>
      <c r="BH189" t="s">
        <v>74</v>
      </c>
      <c r="BI189">
        <v>8</v>
      </c>
      <c r="BJ189" t="s">
        <v>1155</v>
      </c>
      <c r="BK189" t="s">
        <v>170</v>
      </c>
      <c r="BL189" t="s">
        <v>1155</v>
      </c>
      <c r="BM189" t="s">
        <v>2947</v>
      </c>
      <c r="BN189" t="s">
        <v>74</v>
      </c>
      <c r="BO189" t="s">
        <v>74</v>
      </c>
      <c r="BP189" t="s">
        <v>74</v>
      </c>
      <c r="BQ189" t="s">
        <v>74</v>
      </c>
      <c r="BR189" t="s">
        <v>107</v>
      </c>
      <c r="BS189" t="s">
        <v>2957</v>
      </c>
      <c r="BT189" t="str">
        <f>HYPERLINK("https%3A%2F%2Fwww.webofscience.com%2Fwos%2Fwoscc%2Ffull-record%2FWOS:000176752800015","View Full Record in Web of Science")</f>
        <v>View Full Record in Web of Science</v>
      </c>
    </row>
    <row r="190" spans="1:72" x14ac:dyDescent="0.15">
      <c r="A190" t="s">
        <v>72</v>
      </c>
      <c r="B190" t="s">
        <v>2958</v>
      </c>
      <c r="C190" t="s">
        <v>74</v>
      </c>
      <c r="D190" t="s">
        <v>74</v>
      </c>
      <c r="E190" t="s">
        <v>74</v>
      </c>
      <c r="F190" t="s">
        <v>2958</v>
      </c>
      <c r="G190" t="s">
        <v>74</v>
      </c>
      <c r="H190" t="s">
        <v>74</v>
      </c>
      <c r="I190" t="s">
        <v>2959</v>
      </c>
      <c r="J190" t="s">
        <v>2960</v>
      </c>
      <c r="K190" t="s">
        <v>74</v>
      </c>
      <c r="L190" t="s">
        <v>74</v>
      </c>
      <c r="M190" t="s">
        <v>77</v>
      </c>
      <c r="N190" t="s">
        <v>153</v>
      </c>
      <c r="O190" t="s">
        <v>74</v>
      </c>
      <c r="P190" t="s">
        <v>74</v>
      </c>
      <c r="Q190" t="s">
        <v>74</v>
      </c>
      <c r="R190" t="s">
        <v>74</v>
      </c>
      <c r="S190" t="s">
        <v>74</v>
      </c>
      <c r="T190" t="s">
        <v>74</v>
      </c>
      <c r="U190" t="s">
        <v>2961</v>
      </c>
      <c r="V190" t="s">
        <v>2962</v>
      </c>
      <c r="W190" t="s">
        <v>2963</v>
      </c>
      <c r="X190" t="s">
        <v>915</v>
      </c>
      <c r="Y190" t="s">
        <v>2964</v>
      </c>
      <c r="Z190" t="s">
        <v>2965</v>
      </c>
      <c r="AA190" t="s">
        <v>2966</v>
      </c>
      <c r="AB190" t="s">
        <v>2967</v>
      </c>
      <c r="AC190" t="s">
        <v>74</v>
      </c>
      <c r="AD190" t="s">
        <v>74</v>
      </c>
      <c r="AE190" t="s">
        <v>74</v>
      </c>
      <c r="AF190" t="s">
        <v>74</v>
      </c>
      <c r="AG190">
        <v>45</v>
      </c>
      <c r="AH190">
        <v>36</v>
      </c>
      <c r="AI190">
        <v>36</v>
      </c>
      <c r="AJ190">
        <v>1</v>
      </c>
      <c r="AK190">
        <v>11</v>
      </c>
      <c r="AL190" t="s">
        <v>453</v>
      </c>
      <c r="AM190" t="s">
        <v>454</v>
      </c>
      <c r="AN190" t="s">
        <v>455</v>
      </c>
      <c r="AO190" t="s">
        <v>2968</v>
      </c>
      <c r="AP190" t="s">
        <v>2969</v>
      </c>
      <c r="AQ190" t="s">
        <v>74</v>
      </c>
      <c r="AR190" t="s">
        <v>2960</v>
      </c>
      <c r="AS190" t="s">
        <v>2970</v>
      </c>
      <c r="AT190" t="s">
        <v>2208</v>
      </c>
      <c r="AU190">
        <v>2002</v>
      </c>
      <c r="AV190">
        <v>41</v>
      </c>
      <c r="AW190">
        <v>3</v>
      </c>
      <c r="AX190" t="s">
        <v>74</v>
      </c>
      <c r="AY190" t="s">
        <v>74</v>
      </c>
      <c r="AZ190" t="s">
        <v>74</v>
      </c>
      <c r="BA190" t="s">
        <v>74</v>
      </c>
      <c r="BB190">
        <v>268</v>
      </c>
      <c r="BC190">
        <v>272</v>
      </c>
      <c r="BD190" t="s">
        <v>74</v>
      </c>
      <c r="BE190" t="s">
        <v>2971</v>
      </c>
      <c r="BF190" t="str">
        <f>HYPERLINK("http://dx.doi.org/10.2216/i0031-8884-41-3-268.1","http://dx.doi.org/10.2216/i0031-8884-41-3-268.1")</f>
        <v>http://dx.doi.org/10.2216/i0031-8884-41-3-268.1</v>
      </c>
      <c r="BG190" t="s">
        <v>74</v>
      </c>
      <c r="BH190" t="s">
        <v>74</v>
      </c>
      <c r="BI190">
        <v>5</v>
      </c>
      <c r="BJ190" t="s">
        <v>2380</v>
      </c>
      <c r="BK190" t="s">
        <v>170</v>
      </c>
      <c r="BL190" t="s">
        <v>2380</v>
      </c>
      <c r="BM190" t="s">
        <v>2972</v>
      </c>
      <c r="BN190" t="s">
        <v>74</v>
      </c>
      <c r="BO190" t="s">
        <v>74</v>
      </c>
      <c r="BP190" t="s">
        <v>74</v>
      </c>
      <c r="BQ190" t="s">
        <v>74</v>
      </c>
      <c r="BR190" t="s">
        <v>107</v>
      </c>
      <c r="BS190" t="s">
        <v>2973</v>
      </c>
      <c r="BT190" t="str">
        <f>HYPERLINK("https%3A%2F%2Fwww.webofscience.com%2Fwos%2Fwoscc%2Ffull-record%2FWOS:000176614000005","View Full Record in Web of Science")</f>
        <v>View Full Record in Web of Science</v>
      </c>
    </row>
    <row r="191" spans="1:72" x14ac:dyDescent="0.15">
      <c r="A191" t="s">
        <v>72</v>
      </c>
      <c r="B191" t="s">
        <v>2974</v>
      </c>
      <c r="C191" t="s">
        <v>74</v>
      </c>
      <c r="D191" t="s">
        <v>74</v>
      </c>
      <c r="E191" t="s">
        <v>74</v>
      </c>
      <c r="F191" t="s">
        <v>2974</v>
      </c>
      <c r="G191" t="s">
        <v>74</v>
      </c>
      <c r="H191" t="s">
        <v>74</v>
      </c>
      <c r="I191" t="s">
        <v>2975</v>
      </c>
      <c r="J191" t="s">
        <v>263</v>
      </c>
      <c r="K191" t="s">
        <v>74</v>
      </c>
      <c r="L191" t="s">
        <v>74</v>
      </c>
      <c r="M191" t="s">
        <v>77</v>
      </c>
      <c r="N191" t="s">
        <v>153</v>
      </c>
      <c r="O191" t="s">
        <v>74</v>
      </c>
      <c r="P191" t="s">
        <v>74</v>
      </c>
      <c r="Q191" t="s">
        <v>74</v>
      </c>
      <c r="R191" t="s">
        <v>74</v>
      </c>
      <c r="S191" t="s">
        <v>74</v>
      </c>
      <c r="T191" t="s">
        <v>74</v>
      </c>
      <c r="U191" t="s">
        <v>2976</v>
      </c>
      <c r="V191" t="s">
        <v>2977</v>
      </c>
      <c r="W191" t="s">
        <v>2978</v>
      </c>
      <c r="X191" t="s">
        <v>2979</v>
      </c>
      <c r="Y191" t="s">
        <v>268</v>
      </c>
      <c r="Z191" t="s">
        <v>2980</v>
      </c>
      <c r="AA191" t="s">
        <v>2981</v>
      </c>
      <c r="AB191" t="s">
        <v>2982</v>
      </c>
      <c r="AC191" t="s">
        <v>74</v>
      </c>
      <c r="AD191" t="s">
        <v>74</v>
      </c>
      <c r="AE191" t="s">
        <v>74</v>
      </c>
      <c r="AF191" t="s">
        <v>74</v>
      </c>
      <c r="AG191">
        <v>50</v>
      </c>
      <c r="AH191">
        <v>54</v>
      </c>
      <c r="AI191">
        <v>56</v>
      </c>
      <c r="AJ191">
        <v>1</v>
      </c>
      <c r="AK191">
        <v>18</v>
      </c>
      <c r="AL191" t="s">
        <v>194</v>
      </c>
      <c r="AM191" t="s">
        <v>195</v>
      </c>
      <c r="AN191" t="s">
        <v>196</v>
      </c>
      <c r="AO191" t="s">
        <v>272</v>
      </c>
      <c r="AP191" t="s">
        <v>273</v>
      </c>
      <c r="AQ191" t="s">
        <v>74</v>
      </c>
      <c r="AR191" t="s">
        <v>274</v>
      </c>
      <c r="AS191" t="s">
        <v>275</v>
      </c>
      <c r="AT191" t="s">
        <v>2208</v>
      </c>
      <c r="AU191">
        <v>2002</v>
      </c>
      <c r="AV191">
        <v>25</v>
      </c>
      <c r="AW191">
        <v>5</v>
      </c>
      <c r="AX191" t="s">
        <v>74</v>
      </c>
      <c r="AY191" t="s">
        <v>74</v>
      </c>
      <c r="AZ191" t="s">
        <v>74</v>
      </c>
      <c r="BA191" t="s">
        <v>74</v>
      </c>
      <c r="BB191">
        <v>323</v>
      </c>
      <c r="BC191">
        <v>330</v>
      </c>
      <c r="BD191" t="s">
        <v>74</v>
      </c>
      <c r="BE191" t="s">
        <v>2983</v>
      </c>
      <c r="BF191" t="str">
        <f>HYPERLINK("http://dx.doi.org/10.1007/s00300-001-0343-x","http://dx.doi.org/10.1007/s00300-001-0343-x")</f>
        <v>http://dx.doi.org/10.1007/s00300-001-0343-x</v>
      </c>
      <c r="BG191" t="s">
        <v>74</v>
      </c>
      <c r="BH191" t="s">
        <v>74</v>
      </c>
      <c r="BI191">
        <v>8</v>
      </c>
      <c r="BJ191" t="s">
        <v>277</v>
      </c>
      <c r="BK191" t="s">
        <v>170</v>
      </c>
      <c r="BL191" t="s">
        <v>278</v>
      </c>
      <c r="BM191" t="s">
        <v>2984</v>
      </c>
      <c r="BN191" t="s">
        <v>74</v>
      </c>
      <c r="BO191" t="s">
        <v>74</v>
      </c>
      <c r="BP191" t="s">
        <v>74</v>
      </c>
      <c r="BQ191" t="s">
        <v>74</v>
      </c>
      <c r="BR191" t="s">
        <v>107</v>
      </c>
      <c r="BS191" t="s">
        <v>2985</v>
      </c>
      <c r="BT191" t="str">
        <f>HYPERLINK("https%3A%2F%2Fwww.webofscience.com%2Fwos%2Fwoscc%2Ffull-record%2FWOS:000175611000001","View Full Record in Web of Science")</f>
        <v>View Full Record in Web of Science</v>
      </c>
    </row>
    <row r="192" spans="1:72" x14ac:dyDescent="0.15">
      <c r="A192" t="s">
        <v>72</v>
      </c>
      <c r="B192" t="s">
        <v>2986</v>
      </c>
      <c r="C192" t="s">
        <v>74</v>
      </c>
      <c r="D192" t="s">
        <v>74</v>
      </c>
      <c r="E192" t="s">
        <v>74</v>
      </c>
      <c r="F192" t="s">
        <v>2986</v>
      </c>
      <c r="G192" t="s">
        <v>74</v>
      </c>
      <c r="H192" t="s">
        <v>74</v>
      </c>
      <c r="I192" t="s">
        <v>2987</v>
      </c>
      <c r="J192" t="s">
        <v>263</v>
      </c>
      <c r="K192" t="s">
        <v>74</v>
      </c>
      <c r="L192" t="s">
        <v>74</v>
      </c>
      <c r="M192" t="s">
        <v>77</v>
      </c>
      <c r="N192" t="s">
        <v>153</v>
      </c>
      <c r="O192" t="s">
        <v>74</v>
      </c>
      <c r="P192" t="s">
        <v>74</v>
      </c>
      <c r="Q192" t="s">
        <v>74</v>
      </c>
      <c r="R192" t="s">
        <v>74</v>
      </c>
      <c r="S192" t="s">
        <v>74</v>
      </c>
      <c r="T192" t="s">
        <v>74</v>
      </c>
      <c r="U192" t="s">
        <v>2988</v>
      </c>
      <c r="V192" t="s">
        <v>2989</v>
      </c>
      <c r="W192" t="s">
        <v>2990</v>
      </c>
      <c r="X192" t="s">
        <v>2991</v>
      </c>
      <c r="Y192" t="s">
        <v>2992</v>
      </c>
      <c r="Z192" t="s">
        <v>74</v>
      </c>
      <c r="AA192" t="s">
        <v>2993</v>
      </c>
      <c r="AB192" t="s">
        <v>2994</v>
      </c>
      <c r="AC192" t="s">
        <v>74</v>
      </c>
      <c r="AD192" t="s">
        <v>74</v>
      </c>
      <c r="AE192" t="s">
        <v>74</v>
      </c>
      <c r="AF192" t="s">
        <v>74</v>
      </c>
      <c r="AG192">
        <v>26</v>
      </c>
      <c r="AH192">
        <v>7</v>
      </c>
      <c r="AI192">
        <v>7</v>
      </c>
      <c r="AJ192">
        <v>0</v>
      </c>
      <c r="AK192">
        <v>12</v>
      </c>
      <c r="AL192" t="s">
        <v>290</v>
      </c>
      <c r="AM192" t="s">
        <v>195</v>
      </c>
      <c r="AN192" t="s">
        <v>291</v>
      </c>
      <c r="AO192" t="s">
        <v>272</v>
      </c>
      <c r="AP192" t="s">
        <v>74</v>
      </c>
      <c r="AQ192" t="s">
        <v>74</v>
      </c>
      <c r="AR192" t="s">
        <v>274</v>
      </c>
      <c r="AS192" t="s">
        <v>275</v>
      </c>
      <c r="AT192" t="s">
        <v>2208</v>
      </c>
      <c r="AU192">
        <v>2002</v>
      </c>
      <c r="AV192">
        <v>25</v>
      </c>
      <c r="AW192">
        <v>5</v>
      </c>
      <c r="AX192" t="s">
        <v>74</v>
      </c>
      <c r="AY192" t="s">
        <v>74</v>
      </c>
      <c r="AZ192" t="s">
        <v>74</v>
      </c>
      <c r="BA192" t="s">
        <v>74</v>
      </c>
      <c r="BB192">
        <v>360</v>
      </c>
      <c r="BC192">
        <v>365</v>
      </c>
      <c r="BD192" t="s">
        <v>74</v>
      </c>
      <c r="BE192" t="s">
        <v>2995</v>
      </c>
      <c r="BF192" t="str">
        <f>HYPERLINK("http://dx.doi.org/10.1007/s00300-001-0351-x","http://dx.doi.org/10.1007/s00300-001-0351-x")</f>
        <v>http://dx.doi.org/10.1007/s00300-001-0351-x</v>
      </c>
      <c r="BG192" t="s">
        <v>74</v>
      </c>
      <c r="BH192" t="s">
        <v>74</v>
      </c>
      <c r="BI192">
        <v>6</v>
      </c>
      <c r="BJ192" t="s">
        <v>277</v>
      </c>
      <c r="BK192" t="s">
        <v>170</v>
      </c>
      <c r="BL192" t="s">
        <v>278</v>
      </c>
      <c r="BM192" t="s">
        <v>2984</v>
      </c>
      <c r="BN192" t="s">
        <v>74</v>
      </c>
      <c r="BO192" t="s">
        <v>74</v>
      </c>
      <c r="BP192" t="s">
        <v>74</v>
      </c>
      <c r="BQ192" t="s">
        <v>74</v>
      </c>
      <c r="BR192" t="s">
        <v>107</v>
      </c>
      <c r="BS192" t="s">
        <v>2996</v>
      </c>
      <c r="BT192" t="str">
        <f>HYPERLINK("https%3A%2F%2Fwww.webofscience.com%2Fwos%2Fwoscc%2Ffull-record%2FWOS:000175611000006","View Full Record in Web of Science")</f>
        <v>View Full Record in Web of Science</v>
      </c>
    </row>
    <row r="193" spans="1:72" x14ac:dyDescent="0.15">
      <c r="A193" t="s">
        <v>72</v>
      </c>
      <c r="B193" t="s">
        <v>2997</v>
      </c>
      <c r="C193" t="s">
        <v>74</v>
      </c>
      <c r="D193" t="s">
        <v>74</v>
      </c>
      <c r="E193" t="s">
        <v>74</v>
      </c>
      <c r="F193" t="s">
        <v>2997</v>
      </c>
      <c r="G193" t="s">
        <v>74</v>
      </c>
      <c r="H193" t="s">
        <v>74</v>
      </c>
      <c r="I193" t="s">
        <v>2998</v>
      </c>
      <c r="J193" t="s">
        <v>263</v>
      </c>
      <c r="K193" t="s">
        <v>74</v>
      </c>
      <c r="L193" t="s">
        <v>74</v>
      </c>
      <c r="M193" t="s">
        <v>77</v>
      </c>
      <c r="N193" t="s">
        <v>153</v>
      </c>
      <c r="O193" t="s">
        <v>74</v>
      </c>
      <c r="P193" t="s">
        <v>74</v>
      </c>
      <c r="Q193" t="s">
        <v>74</v>
      </c>
      <c r="R193" t="s">
        <v>74</v>
      </c>
      <c r="S193" t="s">
        <v>74</v>
      </c>
      <c r="T193" t="s">
        <v>74</v>
      </c>
      <c r="U193" t="s">
        <v>74</v>
      </c>
      <c r="V193" t="s">
        <v>2999</v>
      </c>
      <c r="W193" t="s">
        <v>3000</v>
      </c>
      <c r="X193" t="s">
        <v>3001</v>
      </c>
      <c r="Y193" t="s">
        <v>3002</v>
      </c>
      <c r="Z193" t="s">
        <v>74</v>
      </c>
      <c r="AA193" t="s">
        <v>3003</v>
      </c>
      <c r="AB193" t="s">
        <v>3004</v>
      </c>
      <c r="AC193" t="s">
        <v>74</v>
      </c>
      <c r="AD193" t="s">
        <v>74</v>
      </c>
      <c r="AE193" t="s">
        <v>74</v>
      </c>
      <c r="AF193" t="s">
        <v>74</v>
      </c>
      <c r="AG193">
        <v>42</v>
      </c>
      <c r="AH193">
        <v>18</v>
      </c>
      <c r="AI193">
        <v>18</v>
      </c>
      <c r="AJ193">
        <v>0</v>
      </c>
      <c r="AK193">
        <v>3</v>
      </c>
      <c r="AL193" t="s">
        <v>290</v>
      </c>
      <c r="AM193" t="s">
        <v>195</v>
      </c>
      <c r="AN193" t="s">
        <v>291</v>
      </c>
      <c r="AO193" t="s">
        <v>272</v>
      </c>
      <c r="AP193" t="s">
        <v>74</v>
      </c>
      <c r="AQ193" t="s">
        <v>74</v>
      </c>
      <c r="AR193" t="s">
        <v>274</v>
      </c>
      <c r="AS193" t="s">
        <v>275</v>
      </c>
      <c r="AT193" t="s">
        <v>2208</v>
      </c>
      <c r="AU193">
        <v>2002</v>
      </c>
      <c r="AV193">
        <v>25</v>
      </c>
      <c r="AW193">
        <v>5</v>
      </c>
      <c r="AX193" t="s">
        <v>74</v>
      </c>
      <c r="AY193" t="s">
        <v>74</v>
      </c>
      <c r="AZ193" t="s">
        <v>74</v>
      </c>
      <c r="BA193" t="s">
        <v>74</v>
      </c>
      <c r="BB193">
        <v>366</v>
      </c>
      <c r="BC193">
        <v>373</v>
      </c>
      <c r="BD193" t="s">
        <v>74</v>
      </c>
      <c r="BE193" t="s">
        <v>3005</v>
      </c>
      <c r="BF193" t="str">
        <f>HYPERLINK("http://dx.doi.org/10.1007/s00300-001-0353-8","http://dx.doi.org/10.1007/s00300-001-0353-8")</f>
        <v>http://dx.doi.org/10.1007/s00300-001-0353-8</v>
      </c>
      <c r="BG193" t="s">
        <v>74</v>
      </c>
      <c r="BH193" t="s">
        <v>74</v>
      </c>
      <c r="BI193">
        <v>8</v>
      </c>
      <c r="BJ193" t="s">
        <v>277</v>
      </c>
      <c r="BK193" t="s">
        <v>170</v>
      </c>
      <c r="BL193" t="s">
        <v>278</v>
      </c>
      <c r="BM193" t="s">
        <v>2984</v>
      </c>
      <c r="BN193" t="s">
        <v>74</v>
      </c>
      <c r="BO193" t="s">
        <v>74</v>
      </c>
      <c r="BP193" t="s">
        <v>74</v>
      </c>
      <c r="BQ193" t="s">
        <v>74</v>
      </c>
      <c r="BR193" t="s">
        <v>107</v>
      </c>
      <c r="BS193" t="s">
        <v>3006</v>
      </c>
      <c r="BT193" t="str">
        <f>HYPERLINK("https%3A%2F%2Fwww.webofscience.com%2Fwos%2Fwoscc%2Ffull-record%2FWOS:000175611000007","View Full Record in Web of Science")</f>
        <v>View Full Record in Web of Science</v>
      </c>
    </row>
    <row r="194" spans="1:72" x14ac:dyDescent="0.15">
      <c r="A194" t="s">
        <v>72</v>
      </c>
      <c r="B194" t="s">
        <v>3007</v>
      </c>
      <c r="C194" t="s">
        <v>74</v>
      </c>
      <c r="D194" t="s">
        <v>74</v>
      </c>
      <c r="E194" t="s">
        <v>74</v>
      </c>
      <c r="F194" t="s">
        <v>3007</v>
      </c>
      <c r="G194" t="s">
        <v>74</v>
      </c>
      <c r="H194" t="s">
        <v>74</v>
      </c>
      <c r="I194" t="s">
        <v>3008</v>
      </c>
      <c r="J194" t="s">
        <v>263</v>
      </c>
      <c r="K194" t="s">
        <v>74</v>
      </c>
      <c r="L194" t="s">
        <v>74</v>
      </c>
      <c r="M194" t="s">
        <v>77</v>
      </c>
      <c r="N194" t="s">
        <v>153</v>
      </c>
      <c r="O194" t="s">
        <v>74</v>
      </c>
      <c r="P194" t="s">
        <v>74</v>
      </c>
      <c r="Q194" t="s">
        <v>74</v>
      </c>
      <c r="R194" t="s">
        <v>74</v>
      </c>
      <c r="S194" t="s">
        <v>74</v>
      </c>
      <c r="T194" t="s">
        <v>74</v>
      </c>
      <c r="U194" t="s">
        <v>3009</v>
      </c>
      <c r="V194" t="s">
        <v>3010</v>
      </c>
      <c r="W194" t="s">
        <v>3011</v>
      </c>
      <c r="X194" t="s">
        <v>3012</v>
      </c>
      <c r="Y194" t="s">
        <v>3013</v>
      </c>
      <c r="Z194" t="s">
        <v>3014</v>
      </c>
      <c r="AA194" t="s">
        <v>74</v>
      </c>
      <c r="AB194" t="s">
        <v>3015</v>
      </c>
      <c r="AC194" t="s">
        <v>74</v>
      </c>
      <c r="AD194" t="s">
        <v>74</v>
      </c>
      <c r="AE194" t="s">
        <v>74</v>
      </c>
      <c r="AF194" t="s">
        <v>74</v>
      </c>
      <c r="AG194">
        <v>64</v>
      </c>
      <c r="AH194">
        <v>173</v>
      </c>
      <c r="AI194">
        <v>199</v>
      </c>
      <c r="AJ194">
        <v>0</v>
      </c>
      <c r="AK194">
        <v>31</v>
      </c>
      <c r="AL194" t="s">
        <v>194</v>
      </c>
      <c r="AM194" t="s">
        <v>195</v>
      </c>
      <c r="AN194" t="s">
        <v>271</v>
      </c>
      <c r="AO194" t="s">
        <v>272</v>
      </c>
      <c r="AP194" t="s">
        <v>273</v>
      </c>
      <c r="AQ194" t="s">
        <v>74</v>
      </c>
      <c r="AR194" t="s">
        <v>274</v>
      </c>
      <c r="AS194" t="s">
        <v>275</v>
      </c>
      <c r="AT194" t="s">
        <v>2208</v>
      </c>
      <c r="AU194">
        <v>2002</v>
      </c>
      <c r="AV194">
        <v>25</v>
      </c>
      <c r="AW194">
        <v>5</v>
      </c>
      <c r="AX194" t="s">
        <v>74</v>
      </c>
      <c r="AY194" t="s">
        <v>74</v>
      </c>
      <c r="AZ194" t="s">
        <v>74</v>
      </c>
      <c r="BA194" t="s">
        <v>74</v>
      </c>
      <c r="BB194">
        <v>374</v>
      </c>
      <c r="BC194">
        <v>383</v>
      </c>
      <c r="BD194" t="s">
        <v>74</v>
      </c>
      <c r="BE194" t="s">
        <v>3016</v>
      </c>
      <c r="BF194" t="str">
        <f>HYPERLINK("http://dx.doi.org/10.1007/s00300-001-0354-7","http://dx.doi.org/10.1007/s00300-001-0354-7")</f>
        <v>http://dx.doi.org/10.1007/s00300-001-0354-7</v>
      </c>
      <c r="BG194" t="s">
        <v>74</v>
      </c>
      <c r="BH194" t="s">
        <v>74</v>
      </c>
      <c r="BI194">
        <v>10</v>
      </c>
      <c r="BJ194" t="s">
        <v>277</v>
      </c>
      <c r="BK194" t="s">
        <v>170</v>
      </c>
      <c r="BL194" t="s">
        <v>278</v>
      </c>
      <c r="BM194" t="s">
        <v>2984</v>
      </c>
      <c r="BN194" t="s">
        <v>74</v>
      </c>
      <c r="BO194" t="s">
        <v>74</v>
      </c>
      <c r="BP194" t="s">
        <v>74</v>
      </c>
      <c r="BQ194" t="s">
        <v>74</v>
      </c>
      <c r="BR194" t="s">
        <v>107</v>
      </c>
      <c r="BS194" t="s">
        <v>3017</v>
      </c>
      <c r="BT194" t="str">
        <f>HYPERLINK("https%3A%2F%2Fwww.webofscience.com%2Fwos%2Fwoscc%2Ffull-record%2FWOS:000175611000008","View Full Record in Web of Science")</f>
        <v>View Full Record in Web of Science</v>
      </c>
    </row>
    <row r="195" spans="1:72" x14ac:dyDescent="0.15">
      <c r="A195" t="s">
        <v>72</v>
      </c>
      <c r="B195" t="s">
        <v>3018</v>
      </c>
      <c r="C195" t="s">
        <v>74</v>
      </c>
      <c r="D195" t="s">
        <v>74</v>
      </c>
      <c r="E195" t="s">
        <v>74</v>
      </c>
      <c r="F195" t="s">
        <v>3018</v>
      </c>
      <c r="G195" t="s">
        <v>74</v>
      </c>
      <c r="H195" t="s">
        <v>74</v>
      </c>
      <c r="I195" t="s">
        <v>3019</v>
      </c>
      <c r="J195" t="s">
        <v>263</v>
      </c>
      <c r="K195" t="s">
        <v>74</v>
      </c>
      <c r="L195" t="s">
        <v>74</v>
      </c>
      <c r="M195" t="s">
        <v>77</v>
      </c>
      <c r="N195" t="s">
        <v>153</v>
      </c>
      <c r="O195" t="s">
        <v>74</v>
      </c>
      <c r="P195" t="s">
        <v>74</v>
      </c>
      <c r="Q195" t="s">
        <v>74</v>
      </c>
      <c r="R195" t="s">
        <v>74</v>
      </c>
      <c r="S195" t="s">
        <v>74</v>
      </c>
      <c r="T195" t="s">
        <v>74</v>
      </c>
      <c r="U195" t="s">
        <v>3020</v>
      </c>
      <c r="V195" t="s">
        <v>3021</v>
      </c>
      <c r="W195" t="s">
        <v>3022</v>
      </c>
      <c r="X195" t="s">
        <v>3023</v>
      </c>
      <c r="Y195" t="s">
        <v>3024</v>
      </c>
      <c r="Z195" t="s">
        <v>74</v>
      </c>
      <c r="AA195" t="s">
        <v>3025</v>
      </c>
      <c r="AB195" t="s">
        <v>3026</v>
      </c>
      <c r="AC195" t="s">
        <v>74</v>
      </c>
      <c r="AD195" t="s">
        <v>74</v>
      </c>
      <c r="AE195" t="s">
        <v>74</v>
      </c>
      <c r="AF195" t="s">
        <v>74</v>
      </c>
      <c r="AG195">
        <v>30</v>
      </c>
      <c r="AH195">
        <v>19</v>
      </c>
      <c r="AI195">
        <v>20</v>
      </c>
      <c r="AJ195">
        <v>1</v>
      </c>
      <c r="AK195">
        <v>2</v>
      </c>
      <c r="AL195" t="s">
        <v>290</v>
      </c>
      <c r="AM195" t="s">
        <v>195</v>
      </c>
      <c r="AN195" t="s">
        <v>291</v>
      </c>
      <c r="AO195" t="s">
        <v>272</v>
      </c>
      <c r="AP195" t="s">
        <v>74</v>
      </c>
      <c r="AQ195" t="s">
        <v>74</v>
      </c>
      <c r="AR195" t="s">
        <v>274</v>
      </c>
      <c r="AS195" t="s">
        <v>275</v>
      </c>
      <c r="AT195" t="s">
        <v>2208</v>
      </c>
      <c r="AU195">
        <v>2002</v>
      </c>
      <c r="AV195">
        <v>25</v>
      </c>
      <c r="AW195">
        <v>5</v>
      </c>
      <c r="AX195" t="s">
        <v>74</v>
      </c>
      <c r="AY195" t="s">
        <v>74</v>
      </c>
      <c r="AZ195" t="s">
        <v>74</v>
      </c>
      <c r="BA195" t="s">
        <v>74</v>
      </c>
      <c r="BB195">
        <v>384</v>
      </c>
      <c r="BC195">
        <v>390</v>
      </c>
      <c r="BD195" t="s">
        <v>74</v>
      </c>
      <c r="BE195" t="s">
        <v>3027</v>
      </c>
      <c r="BF195" t="str">
        <f>HYPERLINK("http://dx.doi.org/10.1007/s00300-002-0358-y","http://dx.doi.org/10.1007/s00300-002-0358-y")</f>
        <v>http://dx.doi.org/10.1007/s00300-002-0358-y</v>
      </c>
      <c r="BG195" t="s">
        <v>74</v>
      </c>
      <c r="BH195" t="s">
        <v>74</v>
      </c>
      <c r="BI195">
        <v>7</v>
      </c>
      <c r="BJ195" t="s">
        <v>277</v>
      </c>
      <c r="BK195" t="s">
        <v>170</v>
      </c>
      <c r="BL195" t="s">
        <v>278</v>
      </c>
      <c r="BM195" t="s">
        <v>2984</v>
      </c>
      <c r="BN195" t="s">
        <v>74</v>
      </c>
      <c r="BO195" t="s">
        <v>74</v>
      </c>
      <c r="BP195" t="s">
        <v>74</v>
      </c>
      <c r="BQ195" t="s">
        <v>74</v>
      </c>
      <c r="BR195" t="s">
        <v>107</v>
      </c>
      <c r="BS195" t="s">
        <v>3028</v>
      </c>
      <c r="BT195" t="str">
        <f>HYPERLINK("https%3A%2F%2Fwww.webofscience.com%2Fwos%2Fwoscc%2Ffull-record%2FWOS:000175611000009","View Full Record in Web of Science")</f>
        <v>View Full Record in Web of Science</v>
      </c>
    </row>
    <row r="196" spans="1:72" x14ac:dyDescent="0.15">
      <c r="A196" t="s">
        <v>72</v>
      </c>
      <c r="B196" t="s">
        <v>3029</v>
      </c>
      <c r="C196" t="s">
        <v>74</v>
      </c>
      <c r="D196" t="s">
        <v>74</v>
      </c>
      <c r="E196" t="s">
        <v>74</v>
      </c>
      <c r="F196" t="s">
        <v>3029</v>
      </c>
      <c r="G196" t="s">
        <v>74</v>
      </c>
      <c r="H196" t="s">
        <v>74</v>
      </c>
      <c r="I196" t="s">
        <v>3030</v>
      </c>
      <c r="J196" t="s">
        <v>263</v>
      </c>
      <c r="K196" t="s">
        <v>74</v>
      </c>
      <c r="L196" t="s">
        <v>74</v>
      </c>
      <c r="M196" t="s">
        <v>77</v>
      </c>
      <c r="N196" t="s">
        <v>153</v>
      </c>
      <c r="O196" t="s">
        <v>74</v>
      </c>
      <c r="P196" t="s">
        <v>74</v>
      </c>
      <c r="Q196" t="s">
        <v>74</v>
      </c>
      <c r="R196" t="s">
        <v>74</v>
      </c>
      <c r="S196" t="s">
        <v>74</v>
      </c>
      <c r="T196" t="s">
        <v>74</v>
      </c>
      <c r="U196" t="s">
        <v>3031</v>
      </c>
      <c r="V196" t="s">
        <v>3032</v>
      </c>
      <c r="W196" t="s">
        <v>3033</v>
      </c>
      <c r="X196" t="s">
        <v>3034</v>
      </c>
      <c r="Y196" t="s">
        <v>3035</v>
      </c>
      <c r="Z196" t="s">
        <v>74</v>
      </c>
      <c r="AA196" t="s">
        <v>3025</v>
      </c>
      <c r="AB196" t="s">
        <v>3026</v>
      </c>
      <c r="AC196" t="s">
        <v>74</v>
      </c>
      <c r="AD196" t="s">
        <v>74</v>
      </c>
      <c r="AE196" t="s">
        <v>74</v>
      </c>
      <c r="AF196" t="s">
        <v>74</v>
      </c>
      <c r="AG196">
        <v>32</v>
      </c>
      <c r="AH196">
        <v>11</v>
      </c>
      <c r="AI196">
        <v>12</v>
      </c>
      <c r="AJ196">
        <v>0</v>
      </c>
      <c r="AK196">
        <v>6</v>
      </c>
      <c r="AL196" t="s">
        <v>290</v>
      </c>
      <c r="AM196" t="s">
        <v>195</v>
      </c>
      <c r="AN196" t="s">
        <v>291</v>
      </c>
      <c r="AO196" t="s">
        <v>272</v>
      </c>
      <c r="AP196" t="s">
        <v>74</v>
      </c>
      <c r="AQ196" t="s">
        <v>74</v>
      </c>
      <c r="AR196" t="s">
        <v>274</v>
      </c>
      <c r="AS196" t="s">
        <v>275</v>
      </c>
      <c r="AT196" t="s">
        <v>2208</v>
      </c>
      <c r="AU196">
        <v>2002</v>
      </c>
      <c r="AV196">
        <v>25</v>
      </c>
      <c r="AW196">
        <v>5</v>
      </c>
      <c r="AX196" t="s">
        <v>74</v>
      </c>
      <c r="AY196" t="s">
        <v>74</v>
      </c>
      <c r="AZ196" t="s">
        <v>74</v>
      </c>
      <c r="BA196" t="s">
        <v>74</v>
      </c>
      <c r="BB196">
        <v>391</v>
      </c>
      <c r="BC196">
        <v>395</v>
      </c>
      <c r="BD196" t="s">
        <v>74</v>
      </c>
      <c r="BE196" t="s">
        <v>3036</v>
      </c>
      <c r="BF196" t="str">
        <f>HYPERLINK("http://dx.doi.org/10.1007/s00300-002-0359-x","http://dx.doi.org/10.1007/s00300-002-0359-x")</f>
        <v>http://dx.doi.org/10.1007/s00300-002-0359-x</v>
      </c>
      <c r="BG196" t="s">
        <v>74</v>
      </c>
      <c r="BH196" t="s">
        <v>74</v>
      </c>
      <c r="BI196">
        <v>5</v>
      </c>
      <c r="BJ196" t="s">
        <v>277</v>
      </c>
      <c r="BK196" t="s">
        <v>170</v>
      </c>
      <c r="BL196" t="s">
        <v>278</v>
      </c>
      <c r="BM196" t="s">
        <v>2984</v>
      </c>
      <c r="BN196" t="s">
        <v>74</v>
      </c>
      <c r="BO196" t="s">
        <v>74</v>
      </c>
      <c r="BP196" t="s">
        <v>74</v>
      </c>
      <c r="BQ196" t="s">
        <v>74</v>
      </c>
      <c r="BR196" t="s">
        <v>107</v>
      </c>
      <c r="BS196" t="s">
        <v>3037</v>
      </c>
      <c r="BT196" t="str">
        <f>HYPERLINK("https%3A%2F%2Fwww.webofscience.com%2Fwos%2Fwoscc%2Ffull-record%2FWOS:000175611000010","View Full Record in Web of Science")</f>
        <v>View Full Record in Web of Science</v>
      </c>
    </row>
    <row r="197" spans="1:72" x14ac:dyDescent="0.15">
      <c r="A197" t="s">
        <v>72</v>
      </c>
      <c r="B197" t="s">
        <v>3038</v>
      </c>
      <c r="C197" t="s">
        <v>74</v>
      </c>
      <c r="D197" t="s">
        <v>74</v>
      </c>
      <c r="E197" t="s">
        <v>74</v>
      </c>
      <c r="F197" t="s">
        <v>3038</v>
      </c>
      <c r="G197" t="s">
        <v>74</v>
      </c>
      <c r="H197" t="s">
        <v>74</v>
      </c>
      <c r="I197" t="s">
        <v>3039</v>
      </c>
      <c r="J197" t="s">
        <v>3040</v>
      </c>
      <c r="K197" t="s">
        <v>74</v>
      </c>
      <c r="L197" t="s">
        <v>74</v>
      </c>
      <c r="M197" t="s">
        <v>77</v>
      </c>
      <c r="N197" t="s">
        <v>153</v>
      </c>
      <c r="O197" t="s">
        <v>74</v>
      </c>
      <c r="P197" t="s">
        <v>74</v>
      </c>
      <c r="Q197" t="s">
        <v>74</v>
      </c>
      <c r="R197" t="s">
        <v>74</v>
      </c>
      <c r="S197" t="s">
        <v>74</v>
      </c>
      <c r="T197" t="s">
        <v>74</v>
      </c>
      <c r="U197" t="s">
        <v>3041</v>
      </c>
      <c r="V197" t="s">
        <v>3042</v>
      </c>
      <c r="W197" t="s">
        <v>3043</v>
      </c>
      <c r="X197" t="s">
        <v>3044</v>
      </c>
      <c r="Y197" t="s">
        <v>3045</v>
      </c>
      <c r="Z197" t="s">
        <v>74</v>
      </c>
      <c r="AA197" t="s">
        <v>3046</v>
      </c>
      <c r="AB197" t="s">
        <v>3047</v>
      </c>
      <c r="AC197" t="s">
        <v>74</v>
      </c>
      <c r="AD197" t="s">
        <v>74</v>
      </c>
      <c r="AE197" t="s">
        <v>74</v>
      </c>
      <c r="AF197" t="s">
        <v>74</v>
      </c>
      <c r="AG197">
        <v>33</v>
      </c>
      <c r="AH197">
        <v>122</v>
      </c>
      <c r="AI197">
        <v>138</v>
      </c>
      <c r="AJ197">
        <v>0</v>
      </c>
      <c r="AK197">
        <v>17</v>
      </c>
      <c r="AL197" t="s">
        <v>1013</v>
      </c>
      <c r="AM197" t="s">
        <v>895</v>
      </c>
      <c r="AN197" t="s">
        <v>1014</v>
      </c>
      <c r="AO197" t="s">
        <v>3048</v>
      </c>
      <c r="AP197" t="s">
        <v>74</v>
      </c>
      <c r="AQ197" t="s">
        <v>74</v>
      </c>
      <c r="AR197" t="s">
        <v>3049</v>
      </c>
      <c r="AS197" t="s">
        <v>3050</v>
      </c>
      <c r="AT197" t="s">
        <v>2208</v>
      </c>
      <c r="AU197">
        <v>2002</v>
      </c>
      <c r="AV197">
        <v>21</v>
      </c>
      <c r="AW197">
        <v>10</v>
      </c>
      <c r="AX197" t="s">
        <v>74</v>
      </c>
      <c r="AY197" t="s">
        <v>74</v>
      </c>
      <c r="AZ197" t="s">
        <v>74</v>
      </c>
      <c r="BA197" t="s">
        <v>74</v>
      </c>
      <c r="BB197">
        <v>1141</v>
      </c>
      <c r="BC197">
        <v>1151</v>
      </c>
      <c r="BD197" t="s">
        <v>3051</v>
      </c>
      <c r="BE197" t="s">
        <v>3052</v>
      </c>
      <c r="BF197" t="str">
        <f>HYPERLINK("http://dx.doi.org/10.1016/S0277-3791(01)00136-6","http://dx.doi.org/10.1016/S0277-3791(01)00136-6")</f>
        <v>http://dx.doi.org/10.1016/S0277-3791(01)00136-6</v>
      </c>
      <c r="BG197" t="s">
        <v>74</v>
      </c>
      <c r="BH197" t="s">
        <v>74</v>
      </c>
      <c r="BI197">
        <v>11</v>
      </c>
      <c r="BJ197" t="s">
        <v>1218</v>
      </c>
      <c r="BK197" t="s">
        <v>170</v>
      </c>
      <c r="BL197" t="s">
        <v>224</v>
      </c>
      <c r="BM197" t="s">
        <v>3053</v>
      </c>
      <c r="BN197" t="s">
        <v>74</v>
      </c>
      <c r="BO197" t="s">
        <v>74</v>
      </c>
      <c r="BP197" t="s">
        <v>74</v>
      </c>
      <c r="BQ197" t="s">
        <v>74</v>
      </c>
      <c r="BR197" t="s">
        <v>107</v>
      </c>
      <c r="BS197" t="s">
        <v>3054</v>
      </c>
      <c r="BT197" t="str">
        <f>HYPERLINK("https%3A%2F%2Fwww.webofscience.com%2Fwos%2Fwoscc%2Ffull-record%2FWOS:000175777400003","View Full Record in Web of Science")</f>
        <v>View Full Record in Web of Science</v>
      </c>
    </row>
    <row r="198" spans="1:72" x14ac:dyDescent="0.15">
      <c r="A198" t="s">
        <v>72</v>
      </c>
      <c r="B198" t="s">
        <v>3055</v>
      </c>
      <c r="C198" t="s">
        <v>74</v>
      </c>
      <c r="D198" t="s">
        <v>74</v>
      </c>
      <c r="E198" t="s">
        <v>74</v>
      </c>
      <c r="F198" t="s">
        <v>3055</v>
      </c>
      <c r="G198" t="s">
        <v>74</v>
      </c>
      <c r="H198" t="s">
        <v>74</v>
      </c>
      <c r="I198" t="s">
        <v>3056</v>
      </c>
      <c r="J198" t="s">
        <v>3057</v>
      </c>
      <c r="K198" t="s">
        <v>74</v>
      </c>
      <c r="L198" t="s">
        <v>74</v>
      </c>
      <c r="M198" t="s">
        <v>77</v>
      </c>
      <c r="N198" t="s">
        <v>153</v>
      </c>
      <c r="O198" t="s">
        <v>74</v>
      </c>
      <c r="P198" t="s">
        <v>74</v>
      </c>
      <c r="Q198" t="s">
        <v>74</v>
      </c>
      <c r="R198" t="s">
        <v>74</v>
      </c>
      <c r="S198" t="s">
        <v>74</v>
      </c>
      <c r="T198" t="s">
        <v>3058</v>
      </c>
      <c r="U198" t="s">
        <v>3059</v>
      </c>
      <c r="V198" t="s">
        <v>3060</v>
      </c>
      <c r="W198" t="s">
        <v>3061</v>
      </c>
      <c r="X198" t="s">
        <v>3062</v>
      </c>
      <c r="Y198" t="s">
        <v>3063</v>
      </c>
      <c r="Z198" t="s">
        <v>3064</v>
      </c>
      <c r="AA198" t="s">
        <v>3065</v>
      </c>
      <c r="AB198" t="s">
        <v>3066</v>
      </c>
      <c r="AC198" t="s">
        <v>74</v>
      </c>
      <c r="AD198" t="s">
        <v>74</v>
      </c>
      <c r="AE198" t="s">
        <v>74</v>
      </c>
      <c r="AF198" t="s">
        <v>74</v>
      </c>
      <c r="AG198">
        <v>23</v>
      </c>
      <c r="AH198">
        <v>19</v>
      </c>
      <c r="AI198">
        <v>19</v>
      </c>
      <c r="AJ198">
        <v>0</v>
      </c>
      <c r="AK198">
        <v>7</v>
      </c>
      <c r="AL198" t="s">
        <v>161</v>
      </c>
      <c r="AM198" t="s">
        <v>162</v>
      </c>
      <c r="AN198" t="s">
        <v>163</v>
      </c>
      <c r="AO198" t="s">
        <v>3067</v>
      </c>
      <c r="AP198" t="s">
        <v>3068</v>
      </c>
      <c r="AQ198" t="s">
        <v>74</v>
      </c>
      <c r="AR198" t="s">
        <v>3069</v>
      </c>
      <c r="AS198" t="s">
        <v>3070</v>
      </c>
      <c r="AT198" t="s">
        <v>2354</v>
      </c>
      <c r="AU198">
        <v>2002</v>
      </c>
      <c r="AV198">
        <v>37</v>
      </c>
      <c r="AW198">
        <v>3</v>
      </c>
      <c r="AX198" t="s">
        <v>74</v>
      </c>
      <c r="AY198" t="s">
        <v>74</v>
      </c>
      <c r="AZ198" t="s">
        <v>74</v>
      </c>
      <c r="BA198" t="s">
        <v>74</v>
      </c>
      <c r="BB198" t="s">
        <v>74</v>
      </c>
      <c r="BC198" t="s">
        <v>74</v>
      </c>
      <c r="BD198">
        <v>1043</v>
      </c>
      <c r="BE198" t="s">
        <v>3071</v>
      </c>
      <c r="BF198" t="str">
        <f>HYPERLINK("http://dx.doi.org/10.1029/2000RS002501","http://dx.doi.org/10.1029/2000RS002501")</f>
        <v>http://dx.doi.org/10.1029/2000RS002501</v>
      </c>
      <c r="BG198" t="s">
        <v>74</v>
      </c>
      <c r="BH198" t="s">
        <v>74</v>
      </c>
      <c r="BI198">
        <v>11</v>
      </c>
      <c r="BJ198" t="s">
        <v>3072</v>
      </c>
      <c r="BK198" t="s">
        <v>170</v>
      </c>
      <c r="BL198" t="s">
        <v>3072</v>
      </c>
      <c r="BM198" t="s">
        <v>3073</v>
      </c>
      <c r="BN198" t="s">
        <v>74</v>
      </c>
      <c r="BO198" t="s">
        <v>173</v>
      </c>
      <c r="BP198" t="s">
        <v>74</v>
      </c>
      <c r="BQ198" t="s">
        <v>74</v>
      </c>
      <c r="BR198" t="s">
        <v>107</v>
      </c>
      <c r="BS198" t="s">
        <v>3074</v>
      </c>
      <c r="BT198" t="str">
        <f>HYPERLINK("https%3A%2F%2Fwww.webofscience.com%2Fwos%2Fwoscc%2Ffull-record%2FWOS:000178948200005","View Full Record in Web of Science")</f>
        <v>View Full Record in Web of Science</v>
      </c>
    </row>
    <row r="199" spans="1:72" x14ac:dyDescent="0.15">
      <c r="A199" t="s">
        <v>72</v>
      </c>
      <c r="B199" t="s">
        <v>2124</v>
      </c>
      <c r="C199" t="s">
        <v>74</v>
      </c>
      <c r="D199" t="s">
        <v>74</v>
      </c>
      <c r="E199" t="s">
        <v>74</v>
      </c>
      <c r="F199" t="s">
        <v>2124</v>
      </c>
      <c r="G199" t="s">
        <v>74</v>
      </c>
      <c r="H199" t="s">
        <v>74</v>
      </c>
      <c r="I199" t="s">
        <v>3075</v>
      </c>
      <c r="J199" t="s">
        <v>3076</v>
      </c>
      <c r="K199" t="s">
        <v>74</v>
      </c>
      <c r="L199" t="s">
        <v>74</v>
      </c>
      <c r="M199" t="s">
        <v>77</v>
      </c>
      <c r="N199" t="s">
        <v>751</v>
      </c>
      <c r="O199" t="s">
        <v>74</v>
      </c>
      <c r="P199" t="s">
        <v>74</v>
      </c>
      <c r="Q199" t="s">
        <v>74</v>
      </c>
      <c r="R199" t="s">
        <v>74</v>
      </c>
      <c r="S199" t="s">
        <v>74</v>
      </c>
      <c r="T199" t="s">
        <v>74</v>
      </c>
      <c r="U199" t="s">
        <v>74</v>
      </c>
      <c r="V199" t="s">
        <v>74</v>
      </c>
      <c r="W199" t="s">
        <v>74</v>
      </c>
      <c r="X199" t="s">
        <v>74</v>
      </c>
      <c r="Y199" t="s">
        <v>74</v>
      </c>
      <c r="Z199" t="s">
        <v>74</v>
      </c>
      <c r="AA199" t="s">
        <v>74</v>
      </c>
      <c r="AB199" t="s">
        <v>74</v>
      </c>
      <c r="AC199" t="s">
        <v>74</v>
      </c>
      <c r="AD199" t="s">
        <v>74</v>
      </c>
      <c r="AE199" t="s">
        <v>74</v>
      </c>
      <c r="AF199" t="s">
        <v>74</v>
      </c>
      <c r="AG199">
        <v>0</v>
      </c>
      <c r="AH199">
        <v>0</v>
      </c>
      <c r="AI199">
        <v>0</v>
      </c>
      <c r="AJ199">
        <v>0</v>
      </c>
      <c r="AK199">
        <v>0</v>
      </c>
      <c r="AL199" t="s">
        <v>3077</v>
      </c>
      <c r="AM199" t="s">
        <v>3078</v>
      </c>
      <c r="AN199" t="s">
        <v>3079</v>
      </c>
      <c r="AO199" t="s">
        <v>3080</v>
      </c>
      <c r="AP199" t="s">
        <v>3081</v>
      </c>
      <c r="AQ199" t="s">
        <v>74</v>
      </c>
      <c r="AR199" t="s">
        <v>3082</v>
      </c>
      <c r="AS199" t="s">
        <v>3083</v>
      </c>
      <c r="AT199" t="s">
        <v>2354</v>
      </c>
      <c r="AU199">
        <v>2002</v>
      </c>
      <c r="AV199">
        <v>98</v>
      </c>
      <c r="AW199" t="s">
        <v>3084</v>
      </c>
      <c r="AX199" t="s">
        <v>74</v>
      </c>
      <c r="AY199" t="s">
        <v>74</v>
      </c>
      <c r="AZ199" t="s">
        <v>74</v>
      </c>
      <c r="BA199" t="s">
        <v>74</v>
      </c>
      <c r="BB199">
        <v>210</v>
      </c>
      <c r="BC199">
        <v>210</v>
      </c>
      <c r="BD199" t="s">
        <v>74</v>
      </c>
      <c r="BE199" t="s">
        <v>74</v>
      </c>
      <c r="BF199" t="s">
        <v>74</v>
      </c>
      <c r="BG199" t="s">
        <v>74</v>
      </c>
      <c r="BH199" t="s">
        <v>74</v>
      </c>
      <c r="BI199">
        <v>1</v>
      </c>
      <c r="BJ199" t="s">
        <v>662</v>
      </c>
      <c r="BK199" t="s">
        <v>170</v>
      </c>
      <c r="BL199" t="s">
        <v>663</v>
      </c>
      <c r="BM199" t="s">
        <v>3085</v>
      </c>
      <c r="BN199" t="s">
        <v>74</v>
      </c>
      <c r="BO199" t="s">
        <v>74</v>
      </c>
      <c r="BP199" t="s">
        <v>74</v>
      </c>
      <c r="BQ199" t="s">
        <v>74</v>
      </c>
      <c r="BR199" t="s">
        <v>107</v>
      </c>
      <c r="BS199" t="s">
        <v>3086</v>
      </c>
      <c r="BT199" t="str">
        <f>HYPERLINK("https%3A%2F%2Fwww.webofscience.com%2Fwos%2Fwoscc%2Ffull-record%2FWOS:000177495100001","View Full Record in Web of Science")</f>
        <v>View Full Record in Web of Science</v>
      </c>
    </row>
    <row r="200" spans="1:72" x14ac:dyDescent="0.15">
      <c r="A200" t="s">
        <v>72</v>
      </c>
      <c r="B200" t="s">
        <v>3087</v>
      </c>
      <c r="C200" t="s">
        <v>74</v>
      </c>
      <c r="D200" t="s">
        <v>74</v>
      </c>
      <c r="E200" t="s">
        <v>74</v>
      </c>
      <c r="F200" t="s">
        <v>3087</v>
      </c>
      <c r="G200" t="s">
        <v>74</v>
      </c>
      <c r="H200" t="s">
        <v>74</v>
      </c>
      <c r="I200" t="s">
        <v>3088</v>
      </c>
      <c r="J200" t="s">
        <v>3076</v>
      </c>
      <c r="K200" t="s">
        <v>74</v>
      </c>
      <c r="L200" t="s">
        <v>74</v>
      </c>
      <c r="M200" t="s">
        <v>77</v>
      </c>
      <c r="N200" t="s">
        <v>153</v>
      </c>
      <c r="O200" t="s">
        <v>74</v>
      </c>
      <c r="P200" t="s">
        <v>74</v>
      </c>
      <c r="Q200" t="s">
        <v>74</v>
      </c>
      <c r="R200" t="s">
        <v>74</v>
      </c>
      <c r="S200" t="s">
        <v>74</v>
      </c>
      <c r="T200" t="s">
        <v>74</v>
      </c>
      <c r="U200" t="s">
        <v>3089</v>
      </c>
      <c r="V200" t="s">
        <v>3090</v>
      </c>
      <c r="W200" t="s">
        <v>3091</v>
      </c>
      <c r="X200" t="s">
        <v>2574</v>
      </c>
      <c r="Y200" t="s">
        <v>3092</v>
      </c>
      <c r="Z200" t="s">
        <v>74</v>
      </c>
      <c r="AA200" t="s">
        <v>74</v>
      </c>
      <c r="AB200" t="s">
        <v>74</v>
      </c>
      <c r="AC200" t="s">
        <v>74</v>
      </c>
      <c r="AD200" t="s">
        <v>74</v>
      </c>
      <c r="AE200" t="s">
        <v>74</v>
      </c>
      <c r="AF200" t="s">
        <v>74</v>
      </c>
      <c r="AG200">
        <v>3</v>
      </c>
      <c r="AH200">
        <v>1</v>
      </c>
      <c r="AI200">
        <v>1</v>
      </c>
      <c r="AJ200">
        <v>0</v>
      </c>
      <c r="AK200">
        <v>0</v>
      </c>
      <c r="AL200" t="s">
        <v>3077</v>
      </c>
      <c r="AM200" t="s">
        <v>3078</v>
      </c>
      <c r="AN200" t="s">
        <v>3079</v>
      </c>
      <c r="AO200" t="s">
        <v>3080</v>
      </c>
      <c r="AP200" t="s">
        <v>74</v>
      </c>
      <c r="AQ200" t="s">
        <v>74</v>
      </c>
      <c r="AR200" t="s">
        <v>3082</v>
      </c>
      <c r="AS200" t="s">
        <v>3083</v>
      </c>
      <c r="AT200" t="s">
        <v>2354</v>
      </c>
      <c r="AU200">
        <v>2002</v>
      </c>
      <c r="AV200">
        <v>98</v>
      </c>
      <c r="AW200" t="s">
        <v>3084</v>
      </c>
      <c r="AX200" t="s">
        <v>74</v>
      </c>
      <c r="AY200" t="s">
        <v>74</v>
      </c>
      <c r="AZ200" t="s">
        <v>74</v>
      </c>
      <c r="BA200" t="s">
        <v>74</v>
      </c>
      <c r="BB200">
        <v>273</v>
      </c>
      <c r="BC200">
        <v>277</v>
      </c>
      <c r="BD200" t="s">
        <v>74</v>
      </c>
      <c r="BE200" t="s">
        <v>74</v>
      </c>
      <c r="BF200" t="s">
        <v>74</v>
      </c>
      <c r="BG200" t="s">
        <v>74</v>
      </c>
      <c r="BH200" t="s">
        <v>74</v>
      </c>
      <c r="BI200">
        <v>5</v>
      </c>
      <c r="BJ200" t="s">
        <v>662</v>
      </c>
      <c r="BK200" t="s">
        <v>170</v>
      </c>
      <c r="BL200" t="s">
        <v>663</v>
      </c>
      <c r="BM200" t="s">
        <v>3085</v>
      </c>
      <c r="BN200" t="s">
        <v>74</v>
      </c>
      <c r="BO200" t="s">
        <v>74</v>
      </c>
      <c r="BP200" t="s">
        <v>74</v>
      </c>
      <c r="BQ200" t="s">
        <v>74</v>
      </c>
      <c r="BR200" t="s">
        <v>107</v>
      </c>
      <c r="BS200" t="s">
        <v>3093</v>
      </c>
      <c r="BT200" t="str">
        <f>HYPERLINK("https%3A%2F%2Fwww.webofscience.com%2Fwos%2Fwoscc%2Ffull-record%2FWOS:000177495100016","View Full Record in Web of Science")</f>
        <v>View Full Record in Web of Science</v>
      </c>
    </row>
    <row r="201" spans="1:72" x14ac:dyDescent="0.15">
      <c r="A201" t="s">
        <v>72</v>
      </c>
      <c r="B201" t="s">
        <v>3094</v>
      </c>
      <c r="C201" t="s">
        <v>74</v>
      </c>
      <c r="D201" t="s">
        <v>74</v>
      </c>
      <c r="E201" t="s">
        <v>74</v>
      </c>
      <c r="F201" t="s">
        <v>3094</v>
      </c>
      <c r="G201" t="s">
        <v>74</v>
      </c>
      <c r="H201" t="s">
        <v>74</v>
      </c>
      <c r="I201" t="s">
        <v>3095</v>
      </c>
      <c r="J201" t="s">
        <v>3076</v>
      </c>
      <c r="K201" t="s">
        <v>74</v>
      </c>
      <c r="L201" t="s">
        <v>74</v>
      </c>
      <c r="M201" t="s">
        <v>77</v>
      </c>
      <c r="N201" t="s">
        <v>153</v>
      </c>
      <c r="O201" t="s">
        <v>74</v>
      </c>
      <c r="P201" t="s">
        <v>74</v>
      </c>
      <c r="Q201" t="s">
        <v>74</v>
      </c>
      <c r="R201" t="s">
        <v>74</v>
      </c>
      <c r="S201" t="s">
        <v>74</v>
      </c>
      <c r="T201" t="s">
        <v>74</v>
      </c>
      <c r="U201" t="s">
        <v>74</v>
      </c>
      <c r="V201" t="s">
        <v>3096</v>
      </c>
      <c r="W201" t="s">
        <v>3097</v>
      </c>
      <c r="X201" t="s">
        <v>3098</v>
      </c>
      <c r="Y201" t="s">
        <v>3099</v>
      </c>
      <c r="Z201" t="s">
        <v>74</v>
      </c>
      <c r="AA201" t="s">
        <v>74</v>
      </c>
      <c r="AB201" t="s">
        <v>74</v>
      </c>
      <c r="AC201" t="s">
        <v>74</v>
      </c>
      <c r="AD201" t="s">
        <v>74</v>
      </c>
      <c r="AE201" t="s">
        <v>74</v>
      </c>
      <c r="AF201" t="s">
        <v>74</v>
      </c>
      <c r="AG201">
        <v>2</v>
      </c>
      <c r="AH201">
        <v>1</v>
      </c>
      <c r="AI201">
        <v>1</v>
      </c>
      <c r="AJ201">
        <v>0</v>
      </c>
      <c r="AK201">
        <v>0</v>
      </c>
      <c r="AL201" t="s">
        <v>3077</v>
      </c>
      <c r="AM201" t="s">
        <v>3078</v>
      </c>
      <c r="AN201" t="s">
        <v>3079</v>
      </c>
      <c r="AO201" t="s">
        <v>3080</v>
      </c>
      <c r="AP201" t="s">
        <v>74</v>
      </c>
      <c r="AQ201" t="s">
        <v>74</v>
      </c>
      <c r="AR201" t="s">
        <v>3082</v>
      </c>
      <c r="AS201" t="s">
        <v>3083</v>
      </c>
      <c r="AT201" t="s">
        <v>2354</v>
      </c>
      <c r="AU201">
        <v>2002</v>
      </c>
      <c r="AV201">
        <v>98</v>
      </c>
      <c r="AW201" t="s">
        <v>3084</v>
      </c>
      <c r="AX201" t="s">
        <v>74</v>
      </c>
      <c r="AY201" t="s">
        <v>74</v>
      </c>
      <c r="AZ201" t="s">
        <v>74</v>
      </c>
      <c r="BA201" t="s">
        <v>74</v>
      </c>
      <c r="BB201">
        <v>281</v>
      </c>
      <c r="BC201">
        <v>282</v>
      </c>
      <c r="BD201" t="s">
        <v>74</v>
      </c>
      <c r="BE201" t="s">
        <v>74</v>
      </c>
      <c r="BF201" t="s">
        <v>74</v>
      </c>
      <c r="BG201" t="s">
        <v>74</v>
      </c>
      <c r="BH201" t="s">
        <v>74</v>
      </c>
      <c r="BI201">
        <v>2</v>
      </c>
      <c r="BJ201" t="s">
        <v>662</v>
      </c>
      <c r="BK201" t="s">
        <v>170</v>
      </c>
      <c r="BL201" t="s">
        <v>663</v>
      </c>
      <c r="BM201" t="s">
        <v>3085</v>
      </c>
      <c r="BN201" t="s">
        <v>74</v>
      </c>
      <c r="BO201" t="s">
        <v>74</v>
      </c>
      <c r="BP201" t="s">
        <v>74</v>
      </c>
      <c r="BQ201" t="s">
        <v>74</v>
      </c>
      <c r="BR201" t="s">
        <v>107</v>
      </c>
      <c r="BS201" t="s">
        <v>3100</v>
      </c>
      <c r="BT201" t="str">
        <f>HYPERLINK("https%3A%2F%2Fwww.webofscience.com%2Fwos%2Fwoscc%2Ffull-record%2FWOS:000177495100018","View Full Record in Web of Science")</f>
        <v>View Full Record in Web of Science</v>
      </c>
    </row>
    <row r="202" spans="1:72" x14ac:dyDescent="0.15">
      <c r="A202" t="s">
        <v>72</v>
      </c>
      <c r="B202" t="s">
        <v>3101</v>
      </c>
      <c r="C202" t="s">
        <v>74</v>
      </c>
      <c r="D202" t="s">
        <v>74</v>
      </c>
      <c r="E202" t="s">
        <v>74</v>
      </c>
      <c r="F202" t="s">
        <v>3101</v>
      </c>
      <c r="G202" t="s">
        <v>74</v>
      </c>
      <c r="H202" t="s">
        <v>74</v>
      </c>
      <c r="I202" t="s">
        <v>3102</v>
      </c>
      <c r="J202" t="s">
        <v>3076</v>
      </c>
      <c r="K202" t="s">
        <v>74</v>
      </c>
      <c r="L202" t="s">
        <v>74</v>
      </c>
      <c r="M202" t="s">
        <v>77</v>
      </c>
      <c r="N202" t="s">
        <v>153</v>
      </c>
      <c r="O202" t="s">
        <v>74</v>
      </c>
      <c r="P202" t="s">
        <v>74</v>
      </c>
      <c r="Q202" t="s">
        <v>74</v>
      </c>
      <c r="R202" t="s">
        <v>74</v>
      </c>
      <c r="S202" t="s">
        <v>74</v>
      </c>
      <c r="T202" t="s">
        <v>74</v>
      </c>
      <c r="U202" t="s">
        <v>3103</v>
      </c>
      <c r="V202" t="s">
        <v>3104</v>
      </c>
      <c r="W202" t="s">
        <v>3105</v>
      </c>
      <c r="X202" t="s">
        <v>3098</v>
      </c>
      <c r="Y202" t="s">
        <v>3106</v>
      </c>
      <c r="Z202" t="s">
        <v>74</v>
      </c>
      <c r="AA202" t="s">
        <v>74</v>
      </c>
      <c r="AB202" t="s">
        <v>74</v>
      </c>
      <c r="AC202" t="s">
        <v>74</v>
      </c>
      <c r="AD202" t="s">
        <v>74</v>
      </c>
      <c r="AE202" t="s">
        <v>74</v>
      </c>
      <c r="AF202" t="s">
        <v>74</v>
      </c>
      <c r="AG202">
        <v>8</v>
      </c>
      <c r="AH202">
        <v>2</v>
      </c>
      <c r="AI202">
        <v>2</v>
      </c>
      <c r="AJ202">
        <v>0</v>
      </c>
      <c r="AK202">
        <v>1</v>
      </c>
      <c r="AL202" t="s">
        <v>3077</v>
      </c>
      <c r="AM202" t="s">
        <v>3078</v>
      </c>
      <c r="AN202" t="s">
        <v>3079</v>
      </c>
      <c r="AO202" t="s">
        <v>3080</v>
      </c>
      <c r="AP202" t="s">
        <v>74</v>
      </c>
      <c r="AQ202" t="s">
        <v>74</v>
      </c>
      <c r="AR202" t="s">
        <v>3082</v>
      </c>
      <c r="AS202" t="s">
        <v>3083</v>
      </c>
      <c r="AT202" t="s">
        <v>2354</v>
      </c>
      <c r="AU202">
        <v>2002</v>
      </c>
      <c r="AV202">
        <v>98</v>
      </c>
      <c r="AW202" t="s">
        <v>3084</v>
      </c>
      <c r="AX202" t="s">
        <v>74</v>
      </c>
      <c r="AY202" t="s">
        <v>74</v>
      </c>
      <c r="AZ202" t="s">
        <v>74</v>
      </c>
      <c r="BA202" t="s">
        <v>74</v>
      </c>
      <c r="BB202">
        <v>293</v>
      </c>
      <c r="BC202">
        <v>296</v>
      </c>
      <c r="BD202" t="s">
        <v>74</v>
      </c>
      <c r="BE202" t="s">
        <v>74</v>
      </c>
      <c r="BF202" t="s">
        <v>74</v>
      </c>
      <c r="BG202" t="s">
        <v>74</v>
      </c>
      <c r="BH202" t="s">
        <v>74</v>
      </c>
      <c r="BI202">
        <v>4</v>
      </c>
      <c r="BJ202" t="s">
        <v>662</v>
      </c>
      <c r="BK202" t="s">
        <v>170</v>
      </c>
      <c r="BL202" t="s">
        <v>663</v>
      </c>
      <c r="BM202" t="s">
        <v>3085</v>
      </c>
      <c r="BN202" t="s">
        <v>74</v>
      </c>
      <c r="BO202" t="s">
        <v>74</v>
      </c>
      <c r="BP202" t="s">
        <v>74</v>
      </c>
      <c r="BQ202" t="s">
        <v>74</v>
      </c>
      <c r="BR202" t="s">
        <v>107</v>
      </c>
      <c r="BS202" t="s">
        <v>3107</v>
      </c>
      <c r="BT202" t="str">
        <f>HYPERLINK("https%3A%2F%2Fwww.webofscience.com%2Fwos%2Fwoscc%2Ffull-record%2FWOS:000177495100022","View Full Record in Web of Science")</f>
        <v>View Full Record in Web of Science</v>
      </c>
    </row>
    <row r="203" spans="1:72" x14ac:dyDescent="0.15">
      <c r="A203" t="s">
        <v>72</v>
      </c>
      <c r="B203" t="s">
        <v>3108</v>
      </c>
      <c r="C203" t="s">
        <v>74</v>
      </c>
      <c r="D203" t="s">
        <v>74</v>
      </c>
      <c r="E203" t="s">
        <v>74</v>
      </c>
      <c r="F203" t="s">
        <v>3108</v>
      </c>
      <c r="G203" t="s">
        <v>74</v>
      </c>
      <c r="H203" t="s">
        <v>74</v>
      </c>
      <c r="I203" t="s">
        <v>3109</v>
      </c>
      <c r="J203" t="s">
        <v>3076</v>
      </c>
      <c r="K203" t="s">
        <v>74</v>
      </c>
      <c r="L203" t="s">
        <v>74</v>
      </c>
      <c r="M203" t="s">
        <v>77</v>
      </c>
      <c r="N203" t="s">
        <v>153</v>
      </c>
      <c r="O203" t="s">
        <v>74</v>
      </c>
      <c r="P203" t="s">
        <v>74</v>
      </c>
      <c r="Q203" t="s">
        <v>74</v>
      </c>
      <c r="R203" t="s">
        <v>74</v>
      </c>
      <c r="S203" t="s">
        <v>74</v>
      </c>
      <c r="T203" t="s">
        <v>74</v>
      </c>
      <c r="U203" t="s">
        <v>74</v>
      </c>
      <c r="V203" t="s">
        <v>3110</v>
      </c>
      <c r="W203" t="s">
        <v>3111</v>
      </c>
      <c r="X203" t="s">
        <v>3098</v>
      </c>
      <c r="Y203" t="s">
        <v>3106</v>
      </c>
      <c r="Z203" t="s">
        <v>74</v>
      </c>
      <c r="AA203" t="s">
        <v>74</v>
      </c>
      <c r="AB203" t="s">
        <v>74</v>
      </c>
      <c r="AC203" t="s">
        <v>74</v>
      </c>
      <c r="AD203" t="s">
        <v>74</v>
      </c>
      <c r="AE203" t="s">
        <v>74</v>
      </c>
      <c r="AF203" t="s">
        <v>74</v>
      </c>
      <c r="AG203">
        <v>4</v>
      </c>
      <c r="AH203">
        <v>1</v>
      </c>
      <c r="AI203">
        <v>1</v>
      </c>
      <c r="AJ203">
        <v>0</v>
      </c>
      <c r="AK203">
        <v>0</v>
      </c>
      <c r="AL203" t="s">
        <v>3077</v>
      </c>
      <c r="AM203" t="s">
        <v>3078</v>
      </c>
      <c r="AN203" t="s">
        <v>3079</v>
      </c>
      <c r="AO203" t="s">
        <v>3080</v>
      </c>
      <c r="AP203" t="s">
        <v>74</v>
      </c>
      <c r="AQ203" t="s">
        <v>74</v>
      </c>
      <c r="AR203" t="s">
        <v>3082</v>
      </c>
      <c r="AS203" t="s">
        <v>3083</v>
      </c>
      <c r="AT203" t="s">
        <v>2354</v>
      </c>
      <c r="AU203">
        <v>2002</v>
      </c>
      <c r="AV203">
        <v>98</v>
      </c>
      <c r="AW203" t="s">
        <v>3084</v>
      </c>
      <c r="AX203" t="s">
        <v>74</v>
      </c>
      <c r="AY203" t="s">
        <v>74</v>
      </c>
      <c r="AZ203" t="s">
        <v>74</v>
      </c>
      <c r="BA203" t="s">
        <v>74</v>
      </c>
      <c r="BB203">
        <v>296</v>
      </c>
      <c r="BC203">
        <v>297</v>
      </c>
      <c r="BD203" t="s">
        <v>74</v>
      </c>
      <c r="BE203" t="s">
        <v>74</v>
      </c>
      <c r="BF203" t="s">
        <v>74</v>
      </c>
      <c r="BG203" t="s">
        <v>74</v>
      </c>
      <c r="BH203" t="s">
        <v>74</v>
      </c>
      <c r="BI203">
        <v>2</v>
      </c>
      <c r="BJ203" t="s">
        <v>662</v>
      </c>
      <c r="BK203" t="s">
        <v>170</v>
      </c>
      <c r="BL203" t="s">
        <v>663</v>
      </c>
      <c r="BM203" t="s">
        <v>3085</v>
      </c>
      <c r="BN203" t="s">
        <v>74</v>
      </c>
      <c r="BO203" t="s">
        <v>74</v>
      </c>
      <c r="BP203" t="s">
        <v>74</v>
      </c>
      <c r="BQ203" t="s">
        <v>74</v>
      </c>
      <c r="BR203" t="s">
        <v>107</v>
      </c>
      <c r="BS203" t="s">
        <v>3112</v>
      </c>
      <c r="BT203" t="str">
        <f>HYPERLINK("https%3A%2F%2Fwww.webofscience.com%2Fwos%2Fwoscc%2Ffull-record%2FWOS:000177495100023","View Full Record in Web of Science")</f>
        <v>View Full Record in Web of Science</v>
      </c>
    </row>
    <row r="204" spans="1:72" x14ac:dyDescent="0.15">
      <c r="A204" t="s">
        <v>72</v>
      </c>
      <c r="B204" t="s">
        <v>3113</v>
      </c>
      <c r="C204" t="s">
        <v>74</v>
      </c>
      <c r="D204" t="s">
        <v>74</v>
      </c>
      <c r="E204" t="s">
        <v>74</v>
      </c>
      <c r="F204" t="s">
        <v>3113</v>
      </c>
      <c r="G204" t="s">
        <v>74</v>
      </c>
      <c r="H204" t="s">
        <v>74</v>
      </c>
      <c r="I204" t="s">
        <v>3114</v>
      </c>
      <c r="J204" t="s">
        <v>3115</v>
      </c>
      <c r="K204" t="s">
        <v>74</v>
      </c>
      <c r="L204" t="s">
        <v>74</v>
      </c>
      <c r="M204" t="s">
        <v>77</v>
      </c>
      <c r="N204" t="s">
        <v>751</v>
      </c>
      <c r="O204" t="s">
        <v>74</v>
      </c>
      <c r="P204" t="s">
        <v>74</v>
      </c>
      <c r="Q204" t="s">
        <v>74</v>
      </c>
      <c r="R204" t="s">
        <v>74</v>
      </c>
      <c r="S204" t="s">
        <v>74</v>
      </c>
      <c r="T204" t="s">
        <v>74</v>
      </c>
      <c r="U204" t="s">
        <v>3116</v>
      </c>
      <c r="V204" t="s">
        <v>3117</v>
      </c>
      <c r="W204" t="s">
        <v>3118</v>
      </c>
      <c r="X204" t="s">
        <v>3119</v>
      </c>
      <c r="Y204" t="s">
        <v>3120</v>
      </c>
      <c r="Z204" t="s">
        <v>74</v>
      </c>
      <c r="AA204" t="s">
        <v>3121</v>
      </c>
      <c r="AB204" t="s">
        <v>3122</v>
      </c>
      <c r="AC204" t="s">
        <v>74</v>
      </c>
      <c r="AD204" t="s">
        <v>74</v>
      </c>
      <c r="AE204" t="s">
        <v>74</v>
      </c>
      <c r="AF204" t="s">
        <v>74</v>
      </c>
      <c r="AG204">
        <v>59</v>
      </c>
      <c r="AH204">
        <v>113</v>
      </c>
      <c r="AI204">
        <v>118</v>
      </c>
      <c r="AJ204">
        <v>0</v>
      </c>
      <c r="AK204">
        <v>10</v>
      </c>
      <c r="AL204" t="s">
        <v>3123</v>
      </c>
      <c r="AM204" t="s">
        <v>1127</v>
      </c>
      <c r="AN204" t="s">
        <v>1128</v>
      </c>
      <c r="AO204" t="s">
        <v>3124</v>
      </c>
      <c r="AP204" t="s">
        <v>74</v>
      </c>
      <c r="AQ204" t="s">
        <v>74</v>
      </c>
      <c r="AR204" t="s">
        <v>3125</v>
      </c>
      <c r="AS204" t="s">
        <v>3126</v>
      </c>
      <c r="AT204" t="s">
        <v>2208</v>
      </c>
      <c r="AU204">
        <v>2002</v>
      </c>
      <c r="AV204">
        <v>17</v>
      </c>
      <c r="AW204">
        <v>5</v>
      </c>
      <c r="AX204" t="s">
        <v>74</v>
      </c>
      <c r="AY204" t="s">
        <v>74</v>
      </c>
      <c r="AZ204" t="s">
        <v>74</v>
      </c>
      <c r="BA204" t="s">
        <v>74</v>
      </c>
      <c r="BB204">
        <v>218</v>
      </c>
      <c r="BC204">
        <v>222</v>
      </c>
      <c r="BD204" t="s">
        <v>3127</v>
      </c>
      <c r="BE204" t="s">
        <v>3128</v>
      </c>
      <c r="BF204" t="str">
        <f>HYPERLINK("http://dx.doi.org/10.1016/S0169-5347(02)02493-X","http://dx.doi.org/10.1016/S0169-5347(02)02493-X")</f>
        <v>http://dx.doi.org/10.1016/S0169-5347(02)02493-X</v>
      </c>
      <c r="BG204" t="s">
        <v>74</v>
      </c>
      <c r="BH204" t="s">
        <v>74</v>
      </c>
      <c r="BI204">
        <v>5</v>
      </c>
      <c r="BJ204" t="s">
        <v>3129</v>
      </c>
      <c r="BK204" t="s">
        <v>170</v>
      </c>
      <c r="BL204" t="s">
        <v>3130</v>
      </c>
      <c r="BM204" t="s">
        <v>3131</v>
      </c>
      <c r="BN204" t="s">
        <v>74</v>
      </c>
      <c r="BO204" t="s">
        <v>74</v>
      </c>
      <c r="BP204" t="s">
        <v>74</v>
      </c>
      <c r="BQ204" t="s">
        <v>74</v>
      </c>
      <c r="BR204" t="s">
        <v>107</v>
      </c>
      <c r="BS204" t="s">
        <v>3132</v>
      </c>
      <c r="BT204" t="str">
        <f>HYPERLINK("https%3A%2F%2Fwww.webofscience.com%2Fwos%2Fwoscc%2Ffull-record%2FWOS:000175024300011","View Full Record in Web of Science")</f>
        <v>View Full Record in Web of Science</v>
      </c>
    </row>
    <row r="205" spans="1:72" x14ac:dyDescent="0.15">
      <c r="A205" t="s">
        <v>72</v>
      </c>
      <c r="B205" t="s">
        <v>3133</v>
      </c>
      <c r="C205" t="s">
        <v>74</v>
      </c>
      <c r="D205" t="s">
        <v>74</v>
      </c>
      <c r="E205" t="s">
        <v>74</v>
      </c>
      <c r="F205" t="s">
        <v>3133</v>
      </c>
      <c r="G205" t="s">
        <v>74</v>
      </c>
      <c r="H205" t="s">
        <v>74</v>
      </c>
      <c r="I205" t="s">
        <v>3134</v>
      </c>
      <c r="J205" t="s">
        <v>3135</v>
      </c>
      <c r="K205" t="s">
        <v>74</v>
      </c>
      <c r="L205" t="s">
        <v>74</v>
      </c>
      <c r="M205" t="s">
        <v>77</v>
      </c>
      <c r="N205" t="s">
        <v>153</v>
      </c>
      <c r="O205" t="s">
        <v>74</v>
      </c>
      <c r="P205" t="s">
        <v>74</v>
      </c>
      <c r="Q205" t="s">
        <v>74</v>
      </c>
      <c r="R205" t="s">
        <v>74</v>
      </c>
      <c r="S205" t="s">
        <v>74</v>
      </c>
      <c r="T205" t="s">
        <v>3136</v>
      </c>
      <c r="U205" t="s">
        <v>3137</v>
      </c>
      <c r="V205" t="s">
        <v>3138</v>
      </c>
      <c r="W205" t="s">
        <v>3139</v>
      </c>
      <c r="X205" t="s">
        <v>3140</v>
      </c>
      <c r="Y205" t="s">
        <v>3141</v>
      </c>
      <c r="Z205" t="s">
        <v>74</v>
      </c>
      <c r="AA205" t="s">
        <v>3142</v>
      </c>
      <c r="AB205" t="s">
        <v>3143</v>
      </c>
      <c r="AC205" t="s">
        <v>74</v>
      </c>
      <c r="AD205" t="s">
        <v>74</v>
      </c>
      <c r="AE205" t="s">
        <v>74</v>
      </c>
      <c r="AF205" t="s">
        <v>74</v>
      </c>
      <c r="AG205">
        <v>25</v>
      </c>
      <c r="AH205">
        <v>35</v>
      </c>
      <c r="AI205">
        <v>40</v>
      </c>
      <c r="AJ205">
        <v>0</v>
      </c>
      <c r="AK205">
        <v>15</v>
      </c>
      <c r="AL205" t="s">
        <v>3144</v>
      </c>
      <c r="AM205" t="s">
        <v>3145</v>
      </c>
      <c r="AN205" t="s">
        <v>3146</v>
      </c>
      <c r="AO205" t="s">
        <v>3147</v>
      </c>
      <c r="AP205" t="s">
        <v>74</v>
      </c>
      <c r="AQ205" t="s">
        <v>74</v>
      </c>
      <c r="AR205" t="s">
        <v>3148</v>
      </c>
      <c r="AS205" t="s">
        <v>3149</v>
      </c>
      <c r="AT205" t="s">
        <v>2354</v>
      </c>
      <c r="AU205">
        <v>2002</v>
      </c>
      <c r="AV205">
        <v>57</v>
      </c>
      <c r="AW205" t="s">
        <v>3084</v>
      </c>
      <c r="AX205" t="s">
        <v>74</v>
      </c>
      <c r="AY205" t="s">
        <v>74</v>
      </c>
      <c r="AZ205" t="s">
        <v>74</v>
      </c>
      <c r="BA205" t="s">
        <v>74</v>
      </c>
      <c r="BB205">
        <v>471</v>
      </c>
      <c r="BC205">
        <v>477</v>
      </c>
      <c r="BD205" t="s">
        <v>74</v>
      </c>
      <c r="BE205" t="s">
        <v>74</v>
      </c>
      <c r="BF205" t="s">
        <v>74</v>
      </c>
      <c r="BG205" t="s">
        <v>74</v>
      </c>
      <c r="BH205" t="s">
        <v>74</v>
      </c>
      <c r="BI205">
        <v>7</v>
      </c>
      <c r="BJ205" t="s">
        <v>3150</v>
      </c>
      <c r="BK205" t="s">
        <v>170</v>
      </c>
      <c r="BL205" t="s">
        <v>3150</v>
      </c>
      <c r="BM205" t="s">
        <v>3151</v>
      </c>
      <c r="BN205">
        <v>12132687</v>
      </c>
      <c r="BO205" t="s">
        <v>74</v>
      </c>
      <c r="BP205" t="s">
        <v>74</v>
      </c>
      <c r="BQ205" t="s">
        <v>74</v>
      </c>
      <c r="BR205" t="s">
        <v>107</v>
      </c>
      <c r="BS205" t="s">
        <v>3152</v>
      </c>
      <c r="BT205" t="str">
        <f>HYPERLINK("https%3A%2F%2Fwww.webofscience.com%2Fwos%2Fwoscc%2Ffull-record%2FWOS:000177074200012","View Full Record in Web of Science")</f>
        <v>View Full Record in Web of Science</v>
      </c>
    </row>
    <row r="206" spans="1:72" x14ac:dyDescent="0.15">
      <c r="A206" t="s">
        <v>72</v>
      </c>
      <c r="B206" t="s">
        <v>3153</v>
      </c>
      <c r="C206" t="s">
        <v>74</v>
      </c>
      <c r="D206" t="s">
        <v>74</v>
      </c>
      <c r="E206" t="s">
        <v>74</v>
      </c>
      <c r="F206" t="s">
        <v>3153</v>
      </c>
      <c r="G206" t="s">
        <v>74</v>
      </c>
      <c r="H206" t="s">
        <v>74</v>
      </c>
      <c r="I206" t="s">
        <v>3154</v>
      </c>
      <c r="J206" t="s">
        <v>539</v>
      </c>
      <c r="K206" t="s">
        <v>74</v>
      </c>
      <c r="L206" t="s">
        <v>74</v>
      </c>
      <c r="M206" t="s">
        <v>77</v>
      </c>
      <c r="N206" t="s">
        <v>153</v>
      </c>
      <c r="O206" t="s">
        <v>74</v>
      </c>
      <c r="P206" t="s">
        <v>74</v>
      </c>
      <c r="Q206" t="s">
        <v>74</v>
      </c>
      <c r="R206" t="s">
        <v>74</v>
      </c>
      <c r="S206" t="s">
        <v>74</v>
      </c>
      <c r="T206" t="s">
        <v>3155</v>
      </c>
      <c r="U206" t="s">
        <v>3156</v>
      </c>
      <c r="V206" t="s">
        <v>3157</v>
      </c>
      <c r="W206" t="s">
        <v>3158</v>
      </c>
      <c r="X206" t="s">
        <v>3159</v>
      </c>
      <c r="Y206" t="s">
        <v>3160</v>
      </c>
      <c r="Z206" t="s">
        <v>3161</v>
      </c>
      <c r="AA206" t="s">
        <v>3162</v>
      </c>
      <c r="AB206" t="s">
        <v>3163</v>
      </c>
      <c r="AC206" t="s">
        <v>74</v>
      </c>
      <c r="AD206" t="s">
        <v>74</v>
      </c>
      <c r="AE206" t="s">
        <v>74</v>
      </c>
      <c r="AF206" t="s">
        <v>74</v>
      </c>
      <c r="AG206">
        <v>46</v>
      </c>
      <c r="AH206">
        <v>74</v>
      </c>
      <c r="AI206">
        <v>76</v>
      </c>
      <c r="AJ206">
        <v>0</v>
      </c>
      <c r="AK206">
        <v>22</v>
      </c>
      <c r="AL206" t="s">
        <v>132</v>
      </c>
      <c r="AM206" t="s">
        <v>91</v>
      </c>
      <c r="AN206" t="s">
        <v>133</v>
      </c>
      <c r="AO206" t="s">
        <v>549</v>
      </c>
      <c r="AP206" t="s">
        <v>74</v>
      </c>
      <c r="AQ206" t="s">
        <v>74</v>
      </c>
      <c r="AR206" t="s">
        <v>551</v>
      </c>
      <c r="AS206" t="s">
        <v>552</v>
      </c>
      <c r="AT206" t="s">
        <v>3164</v>
      </c>
      <c r="AU206">
        <v>2002</v>
      </c>
      <c r="AV206">
        <v>198</v>
      </c>
      <c r="AW206" t="s">
        <v>98</v>
      </c>
      <c r="AX206" t="s">
        <v>74</v>
      </c>
      <c r="AY206" t="s">
        <v>74</v>
      </c>
      <c r="AZ206" t="s">
        <v>74</v>
      </c>
      <c r="BA206" t="s">
        <v>74</v>
      </c>
      <c r="BB206">
        <v>93</v>
      </c>
      <c r="BC206">
        <v>112</v>
      </c>
      <c r="BD206" t="s">
        <v>3165</v>
      </c>
      <c r="BE206" t="s">
        <v>3166</v>
      </c>
      <c r="BF206" t="str">
        <f>HYPERLINK("http://dx.doi.org/10.1016/S0012-821X(02)00492-2","http://dx.doi.org/10.1016/S0012-821X(02)00492-2")</f>
        <v>http://dx.doi.org/10.1016/S0012-821X(02)00492-2</v>
      </c>
      <c r="BG206" t="s">
        <v>74</v>
      </c>
      <c r="BH206" t="s">
        <v>74</v>
      </c>
      <c r="BI206">
        <v>20</v>
      </c>
      <c r="BJ206" t="s">
        <v>556</v>
      </c>
      <c r="BK206" t="s">
        <v>170</v>
      </c>
      <c r="BL206" t="s">
        <v>556</v>
      </c>
      <c r="BM206" t="s">
        <v>3167</v>
      </c>
      <c r="BN206" t="s">
        <v>74</v>
      </c>
      <c r="BO206" t="s">
        <v>74</v>
      </c>
      <c r="BP206" t="s">
        <v>74</v>
      </c>
      <c r="BQ206" t="s">
        <v>74</v>
      </c>
      <c r="BR206" t="s">
        <v>107</v>
      </c>
      <c r="BS206" t="s">
        <v>3168</v>
      </c>
      <c r="BT206" t="str">
        <f>HYPERLINK("https%3A%2F%2Fwww.webofscience.com%2Fwos%2Fwoscc%2Ffull-record%2FWOS:000175733300008","View Full Record in Web of Science")</f>
        <v>View Full Record in Web of Science</v>
      </c>
    </row>
    <row r="207" spans="1:72" x14ac:dyDescent="0.15">
      <c r="A207" t="s">
        <v>72</v>
      </c>
      <c r="B207" t="s">
        <v>3169</v>
      </c>
      <c r="C207" t="s">
        <v>74</v>
      </c>
      <c r="D207" t="s">
        <v>74</v>
      </c>
      <c r="E207" t="s">
        <v>74</v>
      </c>
      <c r="F207" t="s">
        <v>3169</v>
      </c>
      <c r="G207" t="s">
        <v>74</v>
      </c>
      <c r="H207" t="s">
        <v>74</v>
      </c>
      <c r="I207" t="s">
        <v>3170</v>
      </c>
      <c r="J207" t="s">
        <v>539</v>
      </c>
      <c r="K207" t="s">
        <v>74</v>
      </c>
      <c r="L207" t="s">
        <v>74</v>
      </c>
      <c r="M207" t="s">
        <v>77</v>
      </c>
      <c r="N207" t="s">
        <v>153</v>
      </c>
      <c r="O207" t="s">
        <v>74</v>
      </c>
      <c r="P207" t="s">
        <v>74</v>
      </c>
      <c r="Q207" t="s">
        <v>74</v>
      </c>
      <c r="R207" t="s">
        <v>74</v>
      </c>
      <c r="S207" t="s">
        <v>74</v>
      </c>
      <c r="T207" t="s">
        <v>3171</v>
      </c>
      <c r="U207" t="s">
        <v>3172</v>
      </c>
      <c r="V207" t="s">
        <v>3173</v>
      </c>
      <c r="W207" t="s">
        <v>3174</v>
      </c>
      <c r="X207" t="s">
        <v>2368</v>
      </c>
      <c r="Y207" t="s">
        <v>3175</v>
      </c>
      <c r="Z207" t="s">
        <v>74</v>
      </c>
      <c r="AA207" t="s">
        <v>3176</v>
      </c>
      <c r="AB207" t="s">
        <v>3177</v>
      </c>
      <c r="AC207" t="s">
        <v>74</v>
      </c>
      <c r="AD207" t="s">
        <v>74</v>
      </c>
      <c r="AE207" t="s">
        <v>74</v>
      </c>
      <c r="AF207" t="s">
        <v>74</v>
      </c>
      <c r="AG207">
        <v>52</v>
      </c>
      <c r="AH207">
        <v>39</v>
      </c>
      <c r="AI207">
        <v>45</v>
      </c>
      <c r="AJ207">
        <v>0</v>
      </c>
      <c r="AK207">
        <v>11</v>
      </c>
      <c r="AL207" t="s">
        <v>132</v>
      </c>
      <c r="AM207" t="s">
        <v>91</v>
      </c>
      <c r="AN207" t="s">
        <v>133</v>
      </c>
      <c r="AO207" t="s">
        <v>549</v>
      </c>
      <c r="AP207" t="s">
        <v>74</v>
      </c>
      <c r="AQ207" t="s">
        <v>74</v>
      </c>
      <c r="AR207" t="s">
        <v>551</v>
      </c>
      <c r="AS207" t="s">
        <v>552</v>
      </c>
      <c r="AT207" t="s">
        <v>3164</v>
      </c>
      <c r="AU207">
        <v>2002</v>
      </c>
      <c r="AV207">
        <v>198</v>
      </c>
      <c r="AW207" t="s">
        <v>98</v>
      </c>
      <c r="AX207" t="s">
        <v>74</v>
      </c>
      <c r="AY207" t="s">
        <v>74</v>
      </c>
      <c r="AZ207" t="s">
        <v>74</v>
      </c>
      <c r="BA207" t="s">
        <v>74</v>
      </c>
      <c r="BB207">
        <v>147</v>
      </c>
      <c r="BC207">
        <v>165</v>
      </c>
      <c r="BD207" t="s">
        <v>3178</v>
      </c>
      <c r="BE207" t="s">
        <v>3179</v>
      </c>
      <c r="BF207" t="str">
        <f>HYPERLINK("http://dx.doi.org/10.1016/S0012-821X(02)00512-5","http://dx.doi.org/10.1016/S0012-821X(02)00512-5")</f>
        <v>http://dx.doi.org/10.1016/S0012-821X(02)00512-5</v>
      </c>
      <c r="BG207" t="s">
        <v>74</v>
      </c>
      <c r="BH207" t="s">
        <v>74</v>
      </c>
      <c r="BI207">
        <v>19</v>
      </c>
      <c r="BJ207" t="s">
        <v>556</v>
      </c>
      <c r="BK207" t="s">
        <v>170</v>
      </c>
      <c r="BL207" t="s">
        <v>556</v>
      </c>
      <c r="BM207" t="s">
        <v>3167</v>
      </c>
      <c r="BN207" t="s">
        <v>74</v>
      </c>
      <c r="BO207" t="s">
        <v>74</v>
      </c>
      <c r="BP207" t="s">
        <v>74</v>
      </c>
      <c r="BQ207" t="s">
        <v>74</v>
      </c>
      <c r="BR207" t="s">
        <v>107</v>
      </c>
      <c r="BS207" t="s">
        <v>3180</v>
      </c>
      <c r="BT207" t="str">
        <f>HYPERLINK("https%3A%2F%2Fwww.webofscience.com%2Fwos%2Fwoscc%2Ffull-record%2FWOS:000175733300011","View Full Record in Web of Science")</f>
        <v>View Full Record in Web of Science</v>
      </c>
    </row>
    <row r="208" spans="1:72" x14ac:dyDescent="0.15">
      <c r="A208" t="s">
        <v>72</v>
      </c>
      <c r="B208" t="s">
        <v>3181</v>
      </c>
      <c r="C208" t="s">
        <v>74</v>
      </c>
      <c r="D208" t="s">
        <v>74</v>
      </c>
      <c r="E208" t="s">
        <v>74</v>
      </c>
      <c r="F208" t="s">
        <v>3181</v>
      </c>
      <c r="G208" t="s">
        <v>74</v>
      </c>
      <c r="H208" t="s">
        <v>74</v>
      </c>
      <c r="I208" t="s">
        <v>3182</v>
      </c>
      <c r="J208" t="s">
        <v>3183</v>
      </c>
      <c r="K208" t="s">
        <v>74</v>
      </c>
      <c r="L208" t="s">
        <v>74</v>
      </c>
      <c r="M208" t="s">
        <v>77</v>
      </c>
      <c r="N208" t="s">
        <v>78</v>
      </c>
      <c r="O208" t="s">
        <v>3184</v>
      </c>
      <c r="P208" t="s">
        <v>3185</v>
      </c>
      <c r="Q208" t="s">
        <v>3186</v>
      </c>
      <c r="R208" t="s">
        <v>74</v>
      </c>
      <c r="S208" t="s">
        <v>74</v>
      </c>
      <c r="T208" t="s">
        <v>3187</v>
      </c>
      <c r="U208" t="s">
        <v>74</v>
      </c>
      <c r="V208" t="s">
        <v>3188</v>
      </c>
      <c r="W208" t="s">
        <v>3189</v>
      </c>
      <c r="X208" t="s">
        <v>3190</v>
      </c>
      <c r="Y208" t="s">
        <v>3191</v>
      </c>
      <c r="Z208" t="s">
        <v>3192</v>
      </c>
      <c r="AA208" t="s">
        <v>74</v>
      </c>
      <c r="AB208" t="s">
        <v>74</v>
      </c>
      <c r="AC208" t="s">
        <v>74</v>
      </c>
      <c r="AD208" t="s">
        <v>74</v>
      </c>
      <c r="AE208" t="s">
        <v>74</v>
      </c>
      <c r="AF208" t="s">
        <v>74</v>
      </c>
      <c r="AG208">
        <v>12</v>
      </c>
      <c r="AH208">
        <v>128</v>
      </c>
      <c r="AI208">
        <v>135</v>
      </c>
      <c r="AJ208">
        <v>0</v>
      </c>
      <c r="AK208">
        <v>38</v>
      </c>
      <c r="AL208" t="s">
        <v>3193</v>
      </c>
      <c r="AM208" t="s">
        <v>3194</v>
      </c>
      <c r="AN208" t="s">
        <v>3195</v>
      </c>
      <c r="AO208" t="s">
        <v>3196</v>
      </c>
      <c r="AP208" t="s">
        <v>3197</v>
      </c>
      <c r="AQ208" t="s">
        <v>74</v>
      </c>
      <c r="AR208" t="s">
        <v>3198</v>
      </c>
      <c r="AS208" t="s">
        <v>3199</v>
      </c>
      <c r="AT208" t="s">
        <v>3200</v>
      </c>
      <c r="AU208">
        <v>2002</v>
      </c>
      <c r="AV208">
        <v>114</v>
      </c>
      <c r="AW208">
        <v>2</v>
      </c>
      <c r="AX208" t="s">
        <v>74</v>
      </c>
      <c r="AY208" t="s">
        <v>74</v>
      </c>
      <c r="AZ208" t="s">
        <v>74</v>
      </c>
      <c r="BA208" t="s">
        <v>74</v>
      </c>
      <c r="BB208">
        <v>237</v>
      </c>
      <c r="BC208">
        <v>250</v>
      </c>
      <c r="BD208" t="s">
        <v>3201</v>
      </c>
      <c r="BE208" t="s">
        <v>3202</v>
      </c>
      <c r="BF208" t="str">
        <f>HYPERLINK("http://dx.doi.org/10.1016/S0022-1139(02)00030-1","http://dx.doi.org/10.1016/S0022-1139(02)00030-1")</f>
        <v>http://dx.doi.org/10.1016/S0022-1139(02)00030-1</v>
      </c>
      <c r="BG208" t="s">
        <v>74</v>
      </c>
      <c r="BH208" t="s">
        <v>74</v>
      </c>
      <c r="BI208">
        <v>14</v>
      </c>
      <c r="BJ208" t="s">
        <v>3203</v>
      </c>
      <c r="BK208" t="s">
        <v>103</v>
      </c>
      <c r="BL208" t="s">
        <v>2189</v>
      </c>
      <c r="BM208" t="s">
        <v>3204</v>
      </c>
      <c r="BN208" t="s">
        <v>74</v>
      </c>
      <c r="BO208" t="s">
        <v>74</v>
      </c>
      <c r="BP208" t="s">
        <v>74</v>
      </c>
      <c r="BQ208" t="s">
        <v>74</v>
      </c>
      <c r="BR208" t="s">
        <v>107</v>
      </c>
      <c r="BS208" t="s">
        <v>3205</v>
      </c>
      <c r="BT208" t="str">
        <f>HYPERLINK("https%3A%2F%2Fwww.webofscience.com%2Fwos%2Fwoscc%2Ffull-record%2FWOS:000175892800021","View Full Record in Web of Science")</f>
        <v>View Full Record in Web of Science</v>
      </c>
    </row>
    <row r="209" spans="1:72" x14ac:dyDescent="0.15">
      <c r="A209" t="s">
        <v>72</v>
      </c>
      <c r="B209" t="s">
        <v>3206</v>
      </c>
      <c r="C209" t="s">
        <v>74</v>
      </c>
      <c r="D209" t="s">
        <v>74</v>
      </c>
      <c r="E209" t="s">
        <v>74</v>
      </c>
      <c r="F209" t="s">
        <v>3206</v>
      </c>
      <c r="G209" t="s">
        <v>74</v>
      </c>
      <c r="H209" t="s">
        <v>74</v>
      </c>
      <c r="I209" t="s">
        <v>3207</v>
      </c>
      <c r="J209" t="s">
        <v>3208</v>
      </c>
      <c r="K209" t="s">
        <v>74</v>
      </c>
      <c r="L209" t="s">
        <v>74</v>
      </c>
      <c r="M209" t="s">
        <v>77</v>
      </c>
      <c r="N209" t="s">
        <v>153</v>
      </c>
      <c r="O209" t="s">
        <v>74</v>
      </c>
      <c r="P209" t="s">
        <v>74</v>
      </c>
      <c r="Q209" t="s">
        <v>74</v>
      </c>
      <c r="R209" t="s">
        <v>74</v>
      </c>
      <c r="S209" t="s">
        <v>74</v>
      </c>
      <c r="T209" t="s">
        <v>74</v>
      </c>
      <c r="U209" t="s">
        <v>3209</v>
      </c>
      <c r="V209" t="s">
        <v>74</v>
      </c>
      <c r="W209" t="s">
        <v>3210</v>
      </c>
      <c r="X209" t="s">
        <v>3211</v>
      </c>
      <c r="Y209" t="s">
        <v>3212</v>
      </c>
      <c r="Z209" t="s">
        <v>3213</v>
      </c>
      <c r="AA209" t="s">
        <v>74</v>
      </c>
      <c r="AB209" t="s">
        <v>74</v>
      </c>
      <c r="AC209" t="s">
        <v>74</v>
      </c>
      <c r="AD209" t="s">
        <v>74</v>
      </c>
      <c r="AE209" t="s">
        <v>74</v>
      </c>
      <c r="AF209" t="s">
        <v>74</v>
      </c>
      <c r="AG209">
        <v>13</v>
      </c>
      <c r="AH209">
        <v>501</v>
      </c>
      <c r="AI209">
        <v>547</v>
      </c>
      <c r="AJ209">
        <v>8</v>
      </c>
      <c r="AK209">
        <v>362</v>
      </c>
      <c r="AL209" t="s">
        <v>3214</v>
      </c>
      <c r="AM209" t="s">
        <v>1127</v>
      </c>
      <c r="AN209" t="s">
        <v>3215</v>
      </c>
      <c r="AO209" t="s">
        <v>3216</v>
      </c>
      <c r="AP209" t="s">
        <v>3217</v>
      </c>
      <c r="AQ209" t="s">
        <v>74</v>
      </c>
      <c r="AR209" t="s">
        <v>3208</v>
      </c>
      <c r="AS209" t="s">
        <v>3218</v>
      </c>
      <c r="AT209" t="s">
        <v>3219</v>
      </c>
      <c r="AU209">
        <v>2002</v>
      </c>
      <c r="AV209">
        <v>416</v>
      </c>
      <c r="AW209">
        <v>6883</v>
      </c>
      <c r="AX209" t="s">
        <v>74</v>
      </c>
      <c r="AY209" t="s">
        <v>74</v>
      </c>
      <c r="AZ209" t="s">
        <v>74</v>
      </c>
      <c r="BA209" t="s">
        <v>74</v>
      </c>
      <c r="BB209">
        <v>808</v>
      </c>
      <c r="BC209">
        <v>809</v>
      </c>
      <c r="BD209" t="s">
        <v>74</v>
      </c>
      <c r="BE209" t="s">
        <v>3220</v>
      </c>
      <c r="BF209" t="str">
        <f>HYPERLINK("http://dx.doi.org/10.1038/416808a","http://dx.doi.org/10.1038/416808a")</f>
        <v>http://dx.doi.org/10.1038/416808a</v>
      </c>
      <c r="BG209" t="s">
        <v>74</v>
      </c>
      <c r="BH209" t="s">
        <v>74</v>
      </c>
      <c r="BI209">
        <v>2</v>
      </c>
      <c r="BJ209" t="s">
        <v>662</v>
      </c>
      <c r="BK209" t="s">
        <v>170</v>
      </c>
      <c r="BL209" t="s">
        <v>663</v>
      </c>
      <c r="BM209" t="s">
        <v>3221</v>
      </c>
      <c r="BN209">
        <v>11976671</v>
      </c>
      <c r="BO209" t="s">
        <v>74</v>
      </c>
      <c r="BP209" t="s">
        <v>74</v>
      </c>
      <c r="BQ209" t="s">
        <v>74</v>
      </c>
      <c r="BR209" t="s">
        <v>107</v>
      </c>
      <c r="BS209" t="s">
        <v>3222</v>
      </c>
      <c r="BT209" t="str">
        <f>HYPERLINK("https%3A%2F%2Fwww.webofscience.com%2Fwos%2Fwoscc%2Ffull-record%2FWOS:000175163800039","View Full Record in Web of Science")</f>
        <v>View Full Record in Web of Science</v>
      </c>
    </row>
    <row r="210" spans="1:72" x14ac:dyDescent="0.15">
      <c r="A210" t="s">
        <v>72</v>
      </c>
      <c r="B210" t="s">
        <v>3223</v>
      </c>
      <c r="C210" t="s">
        <v>74</v>
      </c>
      <c r="D210" t="s">
        <v>74</v>
      </c>
      <c r="E210" t="s">
        <v>74</v>
      </c>
      <c r="F210" t="s">
        <v>3223</v>
      </c>
      <c r="G210" t="s">
        <v>74</v>
      </c>
      <c r="H210" t="s">
        <v>74</v>
      </c>
      <c r="I210" t="s">
        <v>3224</v>
      </c>
      <c r="J210" t="s">
        <v>3225</v>
      </c>
      <c r="K210" t="s">
        <v>74</v>
      </c>
      <c r="L210" t="s">
        <v>74</v>
      </c>
      <c r="M210" t="s">
        <v>77</v>
      </c>
      <c r="N210" t="s">
        <v>153</v>
      </c>
      <c r="O210" t="s">
        <v>74</v>
      </c>
      <c r="P210" t="s">
        <v>74</v>
      </c>
      <c r="Q210" t="s">
        <v>74</v>
      </c>
      <c r="R210" t="s">
        <v>74</v>
      </c>
      <c r="S210" t="s">
        <v>74</v>
      </c>
      <c r="T210" t="s">
        <v>3226</v>
      </c>
      <c r="U210" t="s">
        <v>3227</v>
      </c>
      <c r="V210" t="s">
        <v>3228</v>
      </c>
      <c r="W210" t="s">
        <v>3229</v>
      </c>
      <c r="X210" t="s">
        <v>3230</v>
      </c>
      <c r="Y210" t="s">
        <v>3231</v>
      </c>
      <c r="Z210" t="s">
        <v>3232</v>
      </c>
      <c r="AA210" t="s">
        <v>3233</v>
      </c>
      <c r="AB210" t="s">
        <v>3234</v>
      </c>
      <c r="AC210" t="s">
        <v>74</v>
      </c>
      <c r="AD210" t="s">
        <v>74</v>
      </c>
      <c r="AE210" t="s">
        <v>74</v>
      </c>
      <c r="AF210" t="s">
        <v>74</v>
      </c>
      <c r="AG210">
        <v>19</v>
      </c>
      <c r="AH210">
        <v>57</v>
      </c>
      <c r="AI210">
        <v>59</v>
      </c>
      <c r="AJ210">
        <v>0</v>
      </c>
      <c r="AK210">
        <v>12</v>
      </c>
      <c r="AL210" t="s">
        <v>132</v>
      </c>
      <c r="AM210" t="s">
        <v>91</v>
      </c>
      <c r="AN210" t="s">
        <v>133</v>
      </c>
      <c r="AO210" t="s">
        <v>3235</v>
      </c>
      <c r="AP210" t="s">
        <v>3236</v>
      </c>
      <c r="AQ210" t="s">
        <v>74</v>
      </c>
      <c r="AR210" t="s">
        <v>3237</v>
      </c>
      <c r="AS210" t="s">
        <v>3238</v>
      </c>
      <c r="AT210" t="s">
        <v>3239</v>
      </c>
      <c r="AU210">
        <v>2002</v>
      </c>
      <c r="AV210">
        <v>289</v>
      </c>
      <c r="AW210" t="s">
        <v>3240</v>
      </c>
      <c r="AX210" t="s">
        <v>74</v>
      </c>
      <c r="AY210" t="s">
        <v>74</v>
      </c>
      <c r="AZ210" t="s">
        <v>74</v>
      </c>
      <c r="BA210" t="s">
        <v>74</v>
      </c>
      <c r="BB210">
        <v>205</v>
      </c>
      <c r="BC210">
        <v>211</v>
      </c>
      <c r="BD210" t="s">
        <v>3241</v>
      </c>
      <c r="BE210" t="s">
        <v>3242</v>
      </c>
      <c r="BF210" t="str">
        <f>HYPERLINK("http://dx.doi.org/10.1016/S0048-9697(01)01047-6","http://dx.doi.org/10.1016/S0048-9697(01)01047-6")</f>
        <v>http://dx.doi.org/10.1016/S0048-9697(01)01047-6</v>
      </c>
      <c r="BG210" t="s">
        <v>74</v>
      </c>
      <c r="BH210" t="s">
        <v>74</v>
      </c>
      <c r="BI210">
        <v>7</v>
      </c>
      <c r="BJ210" t="s">
        <v>1019</v>
      </c>
      <c r="BK210" t="s">
        <v>170</v>
      </c>
      <c r="BL210" t="s">
        <v>1020</v>
      </c>
      <c r="BM210" t="s">
        <v>3243</v>
      </c>
      <c r="BN210">
        <v>12049396</v>
      </c>
      <c r="BO210" t="s">
        <v>74</v>
      </c>
      <c r="BP210" t="s">
        <v>74</v>
      </c>
      <c r="BQ210" t="s">
        <v>74</v>
      </c>
      <c r="BR210" t="s">
        <v>107</v>
      </c>
      <c r="BS210" t="s">
        <v>3244</v>
      </c>
      <c r="BT210" t="str">
        <f>HYPERLINK("https%3A%2F%2Fwww.webofscience.com%2Fwos%2Fwoscc%2Ffull-record%2FWOS:000175817400017","View Full Record in Web of Science")</f>
        <v>View Full Record in Web of Science</v>
      </c>
    </row>
    <row r="211" spans="1:72" x14ac:dyDescent="0.15">
      <c r="A211" t="s">
        <v>72</v>
      </c>
      <c r="B211" t="s">
        <v>3245</v>
      </c>
      <c r="C211" t="s">
        <v>74</v>
      </c>
      <c r="D211" t="s">
        <v>74</v>
      </c>
      <c r="E211" t="s">
        <v>74</v>
      </c>
      <c r="F211" t="s">
        <v>3245</v>
      </c>
      <c r="G211" t="s">
        <v>74</v>
      </c>
      <c r="H211" t="s">
        <v>74</v>
      </c>
      <c r="I211" t="s">
        <v>3246</v>
      </c>
      <c r="J211" t="s">
        <v>3247</v>
      </c>
      <c r="K211" t="s">
        <v>74</v>
      </c>
      <c r="L211" t="s">
        <v>74</v>
      </c>
      <c r="M211" t="s">
        <v>77</v>
      </c>
      <c r="N211" t="s">
        <v>153</v>
      </c>
      <c r="O211" t="s">
        <v>74</v>
      </c>
      <c r="P211" t="s">
        <v>74</v>
      </c>
      <c r="Q211" t="s">
        <v>74</v>
      </c>
      <c r="R211" t="s">
        <v>74</v>
      </c>
      <c r="S211" t="s">
        <v>74</v>
      </c>
      <c r="T211" t="s">
        <v>74</v>
      </c>
      <c r="U211" t="s">
        <v>3248</v>
      </c>
      <c r="V211" t="s">
        <v>3249</v>
      </c>
      <c r="W211" t="s">
        <v>3250</v>
      </c>
      <c r="X211" t="s">
        <v>3251</v>
      </c>
      <c r="Y211" t="s">
        <v>3252</v>
      </c>
      <c r="Z211" t="s">
        <v>3253</v>
      </c>
      <c r="AA211" t="s">
        <v>3254</v>
      </c>
      <c r="AB211" t="s">
        <v>3255</v>
      </c>
      <c r="AC211" t="s">
        <v>74</v>
      </c>
      <c r="AD211" t="s">
        <v>74</v>
      </c>
      <c r="AE211" t="s">
        <v>74</v>
      </c>
      <c r="AF211" t="s">
        <v>74</v>
      </c>
      <c r="AG211">
        <v>20</v>
      </c>
      <c r="AH211">
        <v>2</v>
      </c>
      <c r="AI211">
        <v>2</v>
      </c>
      <c r="AJ211">
        <v>0</v>
      </c>
      <c r="AK211">
        <v>10</v>
      </c>
      <c r="AL211" t="s">
        <v>3256</v>
      </c>
      <c r="AM211" t="s">
        <v>162</v>
      </c>
      <c r="AN211" t="s">
        <v>3257</v>
      </c>
      <c r="AO211" t="s">
        <v>3258</v>
      </c>
      <c r="AP211" t="s">
        <v>3259</v>
      </c>
      <c r="AQ211" t="s">
        <v>74</v>
      </c>
      <c r="AR211" t="s">
        <v>3260</v>
      </c>
      <c r="AS211" t="s">
        <v>3261</v>
      </c>
      <c r="AT211" t="s">
        <v>3262</v>
      </c>
      <c r="AU211">
        <v>2002</v>
      </c>
      <c r="AV211">
        <v>41</v>
      </c>
      <c r="AW211">
        <v>12</v>
      </c>
      <c r="AX211" t="s">
        <v>74</v>
      </c>
      <c r="AY211" t="s">
        <v>74</v>
      </c>
      <c r="AZ211" t="s">
        <v>74</v>
      </c>
      <c r="BA211" t="s">
        <v>74</v>
      </c>
      <c r="BB211">
        <v>2349</v>
      </c>
      <c r="BC211">
        <v>2354</v>
      </c>
      <c r="BD211" t="s">
        <v>74</v>
      </c>
      <c r="BE211" t="s">
        <v>3263</v>
      </c>
      <c r="BF211" t="str">
        <f>HYPERLINK("http://dx.doi.org/10.1364/AO.41.002349","http://dx.doi.org/10.1364/AO.41.002349")</f>
        <v>http://dx.doi.org/10.1364/AO.41.002349</v>
      </c>
      <c r="BG211" t="s">
        <v>74</v>
      </c>
      <c r="BH211" t="s">
        <v>74</v>
      </c>
      <c r="BI211">
        <v>6</v>
      </c>
      <c r="BJ211" t="s">
        <v>3264</v>
      </c>
      <c r="BK211" t="s">
        <v>170</v>
      </c>
      <c r="BL211" t="s">
        <v>3264</v>
      </c>
      <c r="BM211" t="s">
        <v>3265</v>
      </c>
      <c r="BN211">
        <v>12003229</v>
      </c>
      <c r="BO211" t="s">
        <v>74</v>
      </c>
      <c r="BP211" t="s">
        <v>74</v>
      </c>
      <c r="BQ211" t="s">
        <v>74</v>
      </c>
      <c r="BR211" t="s">
        <v>107</v>
      </c>
      <c r="BS211" t="s">
        <v>3266</v>
      </c>
      <c r="BT211" t="str">
        <f>HYPERLINK("https%3A%2F%2Fwww.webofscience.com%2Fwos%2Fwoscc%2Ffull-record%2FWOS:000175156400020","View Full Record in Web of Science")</f>
        <v>View Full Record in Web of Science</v>
      </c>
    </row>
    <row r="212" spans="1:72" x14ac:dyDescent="0.15">
      <c r="A212" t="s">
        <v>72</v>
      </c>
      <c r="B212" t="s">
        <v>3267</v>
      </c>
      <c r="C212" t="s">
        <v>74</v>
      </c>
      <c r="D212" t="s">
        <v>74</v>
      </c>
      <c r="E212" t="s">
        <v>74</v>
      </c>
      <c r="F212" t="s">
        <v>3267</v>
      </c>
      <c r="G212" t="s">
        <v>74</v>
      </c>
      <c r="H212" t="s">
        <v>74</v>
      </c>
      <c r="I212" t="s">
        <v>3268</v>
      </c>
      <c r="J212" t="s">
        <v>646</v>
      </c>
      <c r="K212" t="s">
        <v>74</v>
      </c>
      <c r="L212" t="s">
        <v>74</v>
      </c>
      <c r="M212" t="s">
        <v>77</v>
      </c>
      <c r="N212" t="s">
        <v>153</v>
      </c>
      <c r="O212" t="s">
        <v>74</v>
      </c>
      <c r="P212" t="s">
        <v>74</v>
      </c>
      <c r="Q212" t="s">
        <v>74</v>
      </c>
      <c r="R212" t="s">
        <v>74</v>
      </c>
      <c r="S212" t="s">
        <v>74</v>
      </c>
      <c r="T212" t="s">
        <v>74</v>
      </c>
      <c r="U212" t="s">
        <v>3269</v>
      </c>
      <c r="V212" t="s">
        <v>3270</v>
      </c>
      <c r="W212" t="s">
        <v>3271</v>
      </c>
      <c r="X212" t="s">
        <v>3272</v>
      </c>
      <c r="Y212" t="s">
        <v>3273</v>
      </c>
      <c r="Z212" t="s">
        <v>3274</v>
      </c>
      <c r="AA212" t="s">
        <v>74</v>
      </c>
      <c r="AB212" t="s">
        <v>3275</v>
      </c>
      <c r="AC212" t="s">
        <v>74</v>
      </c>
      <c r="AD212" t="s">
        <v>74</v>
      </c>
      <c r="AE212" t="s">
        <v>74</v>
      </c>
      <c r="AF212" t="s">
        <v>74</v>
      </c>
      <c r="AG212">
        <v>36</v>
      </c>
      <c r="AH212">
        <v>188</v>
      </c>
      <c r="AI212">
        <v>218</v>
      </c>
      <c r="AJ212">
        <v>1</v>
      </c>
      <c r="AK212">
        <v>53</v>
      </c>
      <c r="AL212" t="s">
        <v>655</v>
      </c>
      <c r="AM212" t="s">
        <v>162</v>
      </c>
      <c r="AN212" t="s">
        <v>656</v>
      </c>
      <c r="AO212" t="s">
        <v>657</v>
      </c>
      <c r="AP212" t="s">
        <v>658</v>
      </c>
      <c r="AQ212" t="s">
        <v>74</v>
      </c>
      <c r="AR212" t="s">
        <v>646</v>
      </c>
      <c r="AS212" t="s">
        <v>659</v>
      </c>
      <c r="AT212" t="s">
        <v>3276</v>
      </c>
      <c r="AU212">
        <v>2002</v>
      </c>
      <c r="AV212">
        <v>296</v>
      </c>
      <c r="AW212">
        <v>5567</v>
      </c>
      <c r="AX212" t="s">
        <v>74</v>
      </c>
      <c r="AY212" t="s">
        <v>74</v>
      </c>
      <c r="AZ212" t="s">
        <v>74</v>
      </c>
      <c r="BA212" t="s">
        <v>74</v>
      </c>
      <c r="BB212">
        <v>522</v>
      </c>
      <c r="BC212">
        <v>525</v>
      </c>
      <c r="BD212" t="s">
        <v>74</v>
      </c>
      <c r="BE212" t="s">
        <v>3277</v>
      </c>
      <c r="BF212" t="str">
        <f>HYPERLINK("http://dx.doi.org/10.1126/science.1069401","http://dx.doi.org/10.1126/science.1069401")</f>
        <v>http://dx.doi.org/10.1126/science.1069401</v>
      </c>
      <c r="BG212" t="s">
        <v>74</v>
      </c>
      <c r="BH212" t="s">
        <v>74</v>
      </c>
      <c r="BI212">
        <v>4</v>
      </c>
      <c r="BJ212" t="s">
        <v>662</v>
      </c>
      <c r="BK212" t="s">
        <v>170</v>
      </c>
      <c r="BL212" t="s">
        <v>663</v>
      </c>
      <c r="BM212" t="s">
        <v>3278</v>
      </c>
      <c r="BN212">
        <v>11964477</v>
      </c>
      <c r="BO212" t="s">
        <v>74</v>
      </c>
      <c r="BP212" t="s">
        <v>74</v>
      </c>
      <c r="BQ212" t="s">
        <v>74</v>
      </c>
      <c r="BR212" t="s">
        <v>107</v>
      </c>
      <c r="BS212" t="s">
        <v>3279</v>
      </c>
      <c r="BT212" t="str">
        <f>HYPERLINK("https%3A%2F%2Fwww.webofscience.com%2Fwos%2Fwoscc%2Ffull-record%2FWOS:000175179400044","View Full Record in Web of Science")</f>
        <v>View Full Record in Web of Science</v>
      </c>
    </row>
    <row r="213" spans="1:72" x14ac:dyDescent="0.15">
      <c r="A213" t="s">
        <v>72</v>
      </c>
      <c r="B213" t="s">
        <v>3280</v>
      </c>
      <c r="C213" t="s">
        <v>74</v>
      </c>
      <c r="D213" t="s">
        <v>74</v>
      </c>
      <c r="E213" t="s">
        <v>74</v>
      </c>
      <c r="F213" t="s">
        <v>3280</v>
      </c>
      <c r="G213" t="s">
        <v>74</v>
      </c>
      <c r="H213" t="s">
        <v>74</v>
      </c>
      <c r="I213" t="s">
        <v>3281</v>
      </c>
      <c r="J213" t="s">
        <v>669</v>
      </c>
      <c r="K213" t="s">
        <v>74</v>
      </c>
      <c r="L213" t="s">
        <v>74</v>
      </c>
      <c r="M213" t="s">
        <v>77</v>
      </c>
      <c r="N213" t="s">
        <v>153</v>
      </c>
      <c r="O213" t="s">
        <v>74</v>
      </c>
      <c r="P213" t="s">
        <v>74</v>
      </c>
      <c r="Q213" t="s">
        <v>74</v>
      </c>
      <c r="R213" t="s">
        <v>74</v>
      </c>
      <c r="S213" t="s">
        <v>74</v>
      </c>
      <c r="T213" t="s">
        <v>74</v>
      </c>
      <c r="U213" t="s">
        <v>3282</v>
      </c>
      <c r="V213" t="s">
        <v>3283</v>
      </c>
      <c r="W213" t="s">
        <v>3284</v>
      </c>
      <c r="X213" t="s">
        <v>3285</v>
      </c>
      <c r="Y213" t="s">
        <v>3286</v>
      </c>
      <c r="Z213" t="s">
        <v>74</v>
      </c>
      <c r="AA213" t="s">
        <v>3287</v>
      </c>
      <c r="AB213" t="s">
        <v>3288</v>
      </c>
      <c r="AC213" t="s">
        <v>74</v>
      </c>
      <c r="AD213" t="s">
        <v>74</v>
      </c>
      <c r="AE213" t="s">
        <v>74</v>
      </c>
      <c r="AF213" t="s">
        <v>74</v>
      </c>
      <c r="AG213">
        <v>34</v>
      </c>
      <c r="AH213">
        <v>157</v>
      </c>
      <c r="AI213">
        <v>176</v>
      </c>
      <c r="AJ213">
        <v>2</v>
      </c>
      <c r="AK213">
        <v>48</v>
      </c>
      <c r="AL213" t="s">
        <v>678</v>
      </c>
      <c r="AM213" t="s">
        <v>162</v>
      </c>
      <c r="AN213" t="s">
        <v>679</v>
      </c>
      <c r="AO213" t="s">
        <v>680</v>
      </c>
      <c r="AP213" t="s">
        <v>74</v>
      </c>
      <c r="AQ213" t="s">
        <v>74</v>
      </c>
      <c r="AR213" t="s">
        <v>681</v>
      </c>
      <c r="AS213" t="s">
        <v>682</v>
      </c>
      <c r="AT213" t="s">
        <v>3289</v>
      </c>
      <c r="AU213">
        <v>2002</v>
      </c>
      <c r="AV213">
        <v>99</v>
      </c>
      <c r="AW213">
        <v>8</v>
      </c>
      <c r="AX213" t="s">
        <v>74</v>
      </c>
      <c r="AY213" t="s">
        <v>74</v>
      </c>
      <c r="AZ213" t="s">
        <v>74</v>
      </c>
      <c r="BA213" t="s">
        <v>74</v>
      </c>
      <c r="BB213">
        <v>5716</v>
      </c>
      <c r="BC213">
        <v>5720</v>
      </c>
      <c r="BD213" t="s">
        <v>74</v>
      </c>
      <c r="BE213" t="s">
        <v>3290</v>
      </c>
      <c r="BF213" t="str">
        <f>HYPERLINK("http://dx.doi.org/10.1073/pnas.082580699","http://dx.doi.org/10.1073/pnas.082580699")</f>
        <v>http://dx.doi.org/10.1073/pnas.082580699</v>
      </c>
      <c r="BG213" t="s">
        <v>74</v>
      </c>
      <c r="BH213" t="s">
        <v>74</v>
      </c>
      <c r="BI213">
        <v>5</v>
      </c>
      <c r="BJ213" t="s">
        <v>662</v>
      </c>
      <c r="BK213" t="s">
        <v>170</v>
      </c>
      <c r="BL213" t="s">
        <v>663</v>
      </c>
      <c r="BM213" t="s">
        <v>3291</v>
      </c>
      <c r="BN213">
        <v>11960026</v>
      </c>
      <c r="BO213" t="s">
        <v>106</v>
      </c>
      <c r="BP213" t="s">
        <v>74</v>
      </c>
      <c r="BQ213" t="s">
        <v>74</v>
      </c>
      <c r="BR213" t="s">
        <v>107</v>
      </c>
      <c r="BS213" t="s">
        <v>3292</v>
      </c>
      <c r="BT213" t="str">
        <f>HYPERLINK("https%3A%2F%2Fwww.webofscience.com%2Fwos%2Fwoscc%2Ffull-record%2FWOS:000175087000178","View Full Record in Web of Science")</f>
        <v>View Full Record in Web of Science</v>
      </c>
    </row>
    <row r="214" spans="1:72" x14ac:dyDescent="0.15">
      <c r="A214" t="s">
        <v>72</v>
      </c>
      <c r="B214" t="s">
        <v>3293</v>
      </c>
      <c r="C214" t="s">
        <v>74</v>
      </c>
      <c r="D214" t="s">
        <v>74</v>
      </c>
      <c r="E214" t="s">
        <v>74</v>
      </c>
      <c r="F214" t="s">
        <v>3293</v>
      </c>
      <c r="G214" t="s">
        <v>74</v>
      </c>
      <c r="H214" t="s">
        <v>74</v>
      </c>
      <c r="I214" t="s">
        <v>3294</v>
      </c>
      <c r="J214" t="s">
        <v>539</v>
      </c>
      <c r="K214" t="s">
        <v>74</v>
      </c>
      <c r="L214" t="s">
        <v>74</v>
      </c>
      <c r="M214" t="s">
        <v>77</v>
      </c>
      <c r="N214" t="s">
        <v>153</v>
      </c>
      <c r="O214" t="s">
        <v>74</v>
      </c>
      <c r="P214" t="s">
        <v>74</v>
      </c>
      <c r="Q214" t="s">
        <v>74</v>
      </c>
      <c r="R214" t="s">
        <v>74</v>
      </c>
      <c r="S214" t="s">
        <v>74</v>
      </c>
      <c r="T214" t="s">
        <v>3295</v>
      </c>
      <c r="U214" t="s">
        <v>3296</v>
      </c>
      <c r="V214" t="s">
        <v>3297</v>
      </c>
      <c r="W214" t="s">
        <v>3298</v>
      </c>
      <c r="X214" t="s">
        <v>3299</v>
      </c>
      <c r="Y214" t="s">
        <v>3300</v>
      </c>
      <c r="Z214" t="s">
        <v>3301</v>
      </c>
      <c r="AA214" t="s">
        <v>74</v>
      </c>
      <c r="AB214" t="s">
        <v>3302</v>
      </c>
      <c r="AC214" t="s">
        <v>74</v>
      </c>
      <c r="AD214" t="s">
        <v>74</v>
      </c>
      <c r="AE214" t="s">
        <v>74</v>
      </c>
      <c r="AF214" t="s">
        <v>74</v>
      </c>
      <c r="AG214">
        <v>61</v>
      </c>
      <c r="AH214">
        <v>71</v>
      </c>
      <c r="AI214">
        <v>79</v>
      </c>
      <c r="AJ214">
        <v>2</v>
      </c>
      <c r="AK214">
        <v>3</v>
      </c>
      <c r="AL214" t="s">
        <v>90</v>
      </c>
      <c r="AM214" t="s">
        <v>91</v>
      </c>
      <c r="AN214" t="s">
        <v>92</v>
      </c>
      <c r="AO214" t="s">
        <v>549</v>
      </c>
      <c r="AP214" t="s">
        <v>550</v>
      </c>
      <c r="AQ214" t="s">
        <v>74</v>
      </c>
      <c r="AR214" t="s">
        <v>551</v>
      </c>
      <c r="AS214" t="s">
        <v>552</v>
      </c>
      <c r="AT214" t="s">
        <v>3303</v>
      </c>
      <c r="AU214">
        <v>2002</v>
      </c>
      <c r="AV214">
        <v>197</v>
      </c>
      <c r="AW214" t="s">
        <v>436</v>
      </c>
      <c r="AX214" t="s">
        <v>74</v>
      </c>
      <c r="AY214" t="s">
        <v>74</v>
      </c>
      <c r="AZ214" t="s">
        <v>74</v>
      </c>
      <c r="BA214" t="s">
        <v>74</v>
      </c>
      <c r="BB214">
        <v>151</v>
      </c>
      <c r="BC214">
        <v>164</v>
      </c>
      <c r="BD214" t="s">
        <v>3304</v>
      </c>
      <c r="BE214" t="s">
        <v>3305</v>
      </c>
      <c r="BF214" t="str">
        <f>HYPERLINK("http://dx.doi.org/10.1016/S0012-821X(02)00474-0","http://dx.doi.org/10.1016/S0012-821X(02)00474-0")</f>
        <v>http://dx.doi.org/10.1016/S0012-821X(02)00474-0</v>
      </c>
      <c r="BG214" t="s">
        <v>74</v>
      </c>
      <c r="BH214" t="s">
        <v>74</v>
      </c>
      <c r="BI214">
        <v>14</v>
      </c>
      <c r="BJ214" t="s">
        <v>556</v>
      </c>
      <c r="BK214" t="s">
        <v>170</v>
      </c>
      <c r="BL214" t="s">
        <v>556</v>
      </c>
      <c r="BM214" t="s">
        <v>3306</v>
      </c>
      <c r="BN214" t="s">
        <v>74</v>
      </c>
      <c r="BO214" t="s">
        <v>106</v>
      </c>
      <c r="BP214" t="s">
        <v>74</v>
      </c>
      <c r="BQ214" t="s">
        <v>74</v>
      </c>
      <c r="BR214" t="s">
        <v>107</v>
      </c>
      <c r="BS214" t="s">
        <v>3307</v>
      </c>
      <c r="BT214" t="str">
        <f>HYPERLINK("https%3A%2F%2Fwww.webofscience.com%2Fwos%2Fwoscc%2Ffull-record%2FWOS:000175551700002","View Full Record in Web of Science")</f>
        <v>View Full Record in Web of Science</v>
      </c>
    </row>
    <row r="215" spans="1:72" x14ac:dyDescent="0.15">
      <c r="A215" t="s">
        <v>72</v>
      </c>
      <c r="B215" t="s">
        <v>3308</v>
      </c>
      <c r="C215" t="s">
        <v>74</v>
      </c>
      <c r="D215" t="s">
        <v>74</v>
      </c>
      <c r="E215" t="s">
        <v>74</v>
      </c>
      <c r="F215" t="s">
        <v>3308</v>
      </c>
      <c r="G215" t="s">
        <v>74</v>
      </c>
      <c r="H215" t="s">
        <v>74</v>
      </c>
      <c r="I215" t="s">
        <v>3309</v>
      </c>
      <c r="J215" t="s">
        <v>594</v>
      </c>
      <c r="K215" t="s">
        <v>74</v>
      </c>
      <c r="L215" t="s">
        <v>74</v>
      </c>
      <c r="M215" t="s">
        <v>77</v>
      </c>
      <c r="N215" t="s">
        <v>153</v>
      </c>
      <c r="O215" t="s">
        <v>74</v>
      </c>
      <c r="P215" t="s">
        <v>74</v>
      </c>
      <c r="Q215" t="s">
        <v>74</v>
      </c>
      <c r="R215" t="s">
        <v>74</v>
      </c>
      <c r="S215" t="s">
        <v>74</v>
      </c>
      <c r="T215" t="s">
        <v>74</v>
      </c>
      <c r="U215" t="s">
        <v>3310</v>
      </c>
      <c r="V215" t="s">
        <v>3311</v>
      </c>
      <c r="W215" t="s">
        <v>3312</v>
      </c>
      <c r="X215" t="s">
        <v>3313</v>
      </c>
      <c r="Y215" t="s">
        <v>3314</v>
      </c>
      <c r="Z215" t="s">
        <v>74</v>
      </c>
      <c r="AA215" t="s">
        <v>3315</v>
      </c>
      <c r="AB215" t="s">
        <v>3316</v>
      </c>
      <c r="AC215" t="s">
        <v>74</v>
      </c>
      <c r="AD215" t="s">
        <v>74</v>
      </c>
      <c r="AE215" t="s">
        <v>74</v>
      </c>
      <c r="AF215" t="s">
        <v>74</v>
      </c>
      <c r="AG215">
        <v>24</v>
      </c>
      <c r="AH215">
        <v>24</v>
      </c>
      <c r="AI215">
        <v>24</v>
      </c>
      <c r="AJ215">
        <v>0</v>
      </c>
      <c r="AK215">
        <v>4</v>
      </c>
      <c r="AL215" t="s">
        <v>161</v>
      </c>
      <c r="AM215" t="s">
        <v>162</v>
      </c>
      <c r="AN215" t="s">
        <v>163</v>
      </c>
      <c r="AO215" t="s">
        <v>602</v>
      </c>
      <c r="AP215" t="s">
        <v>74</v>
      </c>
      <c r="AQ215" t="s">
        <v>74</v>
      </c>
      <c r="AR215" t="s">
        <v>604</v>
      </c>
      <c r="AS215" t="s">
        <v>605</v>
      </c>
      <c r="AT215" t="s">
        <v>3303</v>
      </c>
      <c r="AU215">
        <v>2002</v>
      </c>
      <c r="AV215">
        <v>29</v>
      </c>
      <c r="AW215">
        <v>8</v>
      </c>
      <c r="AX215" t="s">
        <v>74</v>
      </c>
      <c r="AY215" t="s">
        <v>74</v>
      </c>
      <c r="AZ215" t="s">
        <v>74</v>
      </c>
      <c r="BA215" t="s">
        <v>74</v>
      </c>
      <c r="BB215" t="s">
        <v>74</v>
      </c>
      <c r="BC215" t="s">
        <v>74</v>
      </c>
      <c r="BD215">
        <v>1267</v>
      </c>
      <c r="BE215" t="s">
        <v>3317</v>
      </c>
      <c r="BF215" t="str">
        <f>HYPERLINK("http://dx.doi.org/10.1029/2001GL013727","http://dx.doi.org/10.1029/2001GL013727")</f>
        <v>http://dx.doi.org/10.1029/2001GL013727</v>
      </c>
      <c r="BG215" t="s">
        <v>74</v>
      </c>
      <c r="BH215" t="s">
        <v>74</v>
      </c>
      <c r="BI215">
        <v>4</v>
      </c>
      <c r="BJ215" t="s">
        <v>608</v>
      </c>
      <c r="BK215" t="s">
        <v>170</v>
      </c>
      <c r="BL215" t="s">
        <v>439</v>
      </c>
      <c r="BM215" t="s">
        <v>3318</v>
      </c>
      <c r="BN215" t="s">
        <v>74</v>
      </c>
      <c r="BO215" t="s">
        <v>173</v>
      </c>
      <c r="BP215" t="s">
        <v>74</v>
      </c>
      <c r="BQ215" t="s">
        <v>74</v>
      </c>
      <c r="BR215" t="s">
        <v>107</v>
      </c>
      <c r="BS215" t="s">
        <v>3319</v>
      </c>
      <c r="BT215" t="str">
        <f>HYPERLINK("https%3A%2F%2Fwww.webofscience.com%2Fwos%2Fwoscc%2Ffull-record%2FWOS:000178886800020","View Full Record in Web of Science")</f>
        <v>View Full Record in Web of Science</v>
      </c>
    </row>
    <row r="216" spans="1:72" x14ac:dyDescent="0.15">
      <c r="A216" t="s">
        <v>72</v>
      </c>
      <c r="B216" t="s">
        <v>3320</v>
      </c>
      <c r="C216" t="s">
        <v>74</v>
      </c>
      <c r="D216" t="s">
        <v>74</v>
      </c>
      <c r="E216" t="s">
        <v>74</v>
      </c>
      <c r="F216" t="s">
        <v>3320</v>
      </c>
      <c r="G216" t="s">
        <v>74</v>
      </c>
      <c r="H216" t="s">
        <v>74</v>
      </c>
      <c r="I216" t="s">
        <v>3321</v>
      </c>
      <c r="J216" t="s">
        <v>594</v>
      </c>
      <c r="K216" t="s">
        <v>74</v>
      </c>
      <c r="L216" t="s">
        <v>74</v>
      </c>
      <c r="M216" t="s">
        <v>77</v>
      </c>
      <c r="N216" t="s">
        <v>153</v>
      </c>
      <c r="O216" t="s">
        <v>74</v>
      </c>
      <c r="P216" t="s">
        <v>74</v>
      </c>
      <c r="Q216" t="s">
        <v>74</v>
      </c>
      <c r="R216" t="s">
        <v>74</v>
      </c>
      <c r="S216" t="s">
        <v>74</v>
      </c>
      <c r="T216" t="s">
        <v>74</v>
      </c>
      <c r="U216" t="s">
        <v>3322</v>
      </c>
      <c r="V216" t="s">
        <v>3323</v>
      </c>
      <c r="W216" t="s">
        <v>3324</v>
      </c>
      <c r="X216" t="s">
        <v>3325</v>
      </c>
      <c r="Y216" t="s">
        <v>3326</v>
      </c>
      <c r="Z216" t="s">
        <v>74</v>
      </c>
      <c r="AA216" t="s">
        <v>74</v>
      </c>
      <c r="AB216" t="s">
        <v>3327</v>
      </c>
      <c r="AC216" t="s">
        <v>74</v>
      </c>
      <c r="AD216" t="s">
        <v>74</v>
      </c>
      <c r="AE216" t="s">
        <v>74</v>
      </c>
      <c r="AF216" t="s">
        <v>74</v>
      </c>
      <c r="AG216">
        <v>16</v>
      </c>
      <c r="AH216">
        <v>176</v>
      </c>
      <c r="AI216">
        <v>189</v>
      </c>
      <c r="AJ216">
        <v>0</v>
      </c>
      <c r="AK216">
        <v>14</v>
      </c>
      <c r="AL216" t="s">
        <v>161</v>
      </c>
      <c r="AM216" t="s">
        <v>162</v>
      </c>
      <c r="AN216" t="s">
        <v>163</v>
      </c>
      <c r="AO216" t="s">
        <v>602</v>
      </c>
      <c r="AP216" t="s">
        <v>74</v>
      </c>
      <c r="AQ216" t="s">
        <v>74</v>
      </c>
      <c r="AR216" t="s">
        <v>604</v>
      </c>
      <c r="AS216" t="s">
        <v>605</v>
      </c>
      <c r="AT216" t="s">
        <v>3303</v>
      </c>
      <c r="AU216">
        <v>2002</v>
      </c>
      <c r="AV216">
        <v>29</v>
      </c>
      <c r="AW216">
        <v>8</v>
      </c>
      <c r="AX216" t="s">
        <v>74</v>
      </c>
      <c r="AY216" t="s">
        <v>74</v>
      </c>
      <c r="AZ216" t="s">
        <v>74</v>
      </c>
      <c r="BA216" t="s">
        <v>74</v>
      </c>
      <c r="BB216" t="s">
        <v>74</v>
      </c>
      <c r="BC216" t="s">
        <v>74</v>
      </c>
      <c r="BD216">
        <v>1199</v>
      </c>
      <c r="BE216" t="s">
        <v>3328</v>
      </c>
      <c r="BF216" t="str">
        <f>HYPERLINK("http://dx.doi.org/10.1029/2001GL014488","http://dx.doi.org/10.1029/2001GL014488")</f>
        <v>http://dx.doi.org/10.1029/2001GL014488</v>
      </c>
      <c r="BG216" t="s">
        <v>74</v>
      </c>
      <c r="BH216" t="s">
        <v>74</v>
      </c>
      <c r="BI216">
        <v>4</v>
      </c>
      <c r="BJ216" t="s">
        <v>608</v>
      </c>
      <c r="BK216" t="s">
        <v>170</v>
      </c>
      <c r="BL216" t="s">
        <v>439</v>
      </c>
      <c r="BM216" t="s">
        <v>3318</v>
      </c>
      <c r="BN216" t="s">
        <v>74</v>
      </c>
      <c r="BO216" t="s">
        <v>2191</v>
      </c>
      <c r="BP216" t="s">
        <v>74</v>
      </c>
      <c r="BQ216" t="s">
        <v>74</v>
      </c>
      <c r="BR216" t="s">
        <v>107</v>
      </c>
      <c r="BS216" t="s">
        <v>3329</v>
      </c>
      <c r="BT216" t="str">
        <f>HYPERLINK("https%3A%2F%2Fwww.webofscience.com%2Fwos%2Fwoscc%2Ffull-record%2FWOS:000178886800088","View Full Record in Web of Science")</f>
        <v>View Full Record in Web of Science</v>
      </c>
    </row>
    <row r="217" spans="1:72" x14ac:dyDescent="0.15">
      <c r="A217" t="s">
        <v>72</v>
      </c>
      <c r="B217" t="s">
        <v>3330</v>
      </c>
      <c r="C217" t="s">
        <v>74</v>
      </c>
      <c r="D217" t="s">
        <v>74</v>
      </c>
      <c r="E217" t="s">
        <v>74</v>
      </c>
      <c r="F217" t="s">
        <v>3330</v>
      </c>
      <c r="G217" t="s">
        <v>74</v>
      </c>
      <c r="H217" t="s">
        <v>74</v>
      </c>
      <c r="I217" t="s">
        <v>3331</v>
      </c>
      <c r="J217" t="s">
        <v>594</v>
      </c>
      <c r="K217" t="s">
        <v>74</v>
      </c>
      <c r="L217" t="s">
        <v>74</v>
      </c>
      <c r="M217" t="s">
        <v>77</v>
      </c>
      <c r="N217" t="s">
        <v>153</v>
      </c>
      <c r="O217" t="s">
        <v>74</v>
      </c>
      <c r="P217" t="s">
        <v>74</v>
      </c>
      <c r="Q217" t="s">
        <v>74</v>
      </c>
      <c r="R217" t="s">
        <v>74</v>
      </c>
      <c r="S217" t="s">
        <v>74</v>
      </c>
      <c r="T217" t="s">
        <v>74</v>
      </c>
      <c r="U217" t="s">
        <v>74</v>
      </c>
      <c r="V217" t="s">
        <v>3332</v>
      </c>
      <c r="W217" t="s">
        <v>851</v>
      </c>
      <c r="X217" t="s">
        <v>852</v>
      </c>
      <c r="Y217" t="s">
        <v>3333</v>
      </c>
      <c r="Z217" t="s">
        <v>74</v>
      </c>
      <c r="AA217" t="s">
        <v>3334</v>
      </c>
      <c r="AB217" t="s">
        <v>3335</v>
      </c>
      <c r="AC217" t="s">
        <v>74</v>
      </c>
      <c r="AD217" t="s">
        <v>74</v>
      </c>
      <c r="AE217" t="s">
        <v>74</v>
      </c>
      <c r="AF217" t="s">
        <v>74</v>
      </c>
      <c r="AG217">
        <v>12</v>
      </c>
      <c r="AH217">
        <v>71</v>
      </c>
      <c r="AI217">
        <v>82</v>
      </c>
      <c r="AJ217">
        <v>1</v>
      </c>
      <c r="AK217">
        <v>18</v>
      </c>
      <c r="AL217" t="s">
        <v>161</v>
      </c>
      <c r="AM217" t="s">
        <v>162</v>
      </c>
      <c r="AN217" t="s">
        <v>163</v>
      </c>
      <c r="AO217" t="s">
        <v>602</v>
      </c>
      <c r="AP217" t="s">
        <v>74</v>
      </c>
      <c r="AQ217" t="s">
        <v>74</v>
      </c>
      <c r="AR217" t="s">
        <v>604</v>
      </c>
      <c r="AS217" t="s">
        <v>605</v>
      </c>
      <c r="AT217" t="s">
        <v>3303</v>
      </c>
      <c r="AU217">
        <v>2002</v>
      </c>
      <c r="AV217">
        <v>29</v>
      </c>
      <c r="AW217">
        <v>8</v>
      </c>
      <c r="AX217" t="s">
        <v>74</v>
      </c>
      <c r="AY217" t="s">
        <v>74</v>
      </c>
      <c r="AZ217" t="s">
        <v>74</v>
      </c>
      <c r="BA217" t="s">
        <v>74</v>
      </c>
      <c r="BB217" t="s">
        <v>74</v>
      </c>
      <c r="BC217" t="s">
        <v>74</v>
      </c>
      <c r="BD217">
        <v>1232</v>
      </c>
      <c r="BE217" t="s">
        <v>3336</v>
      </c>
      <c r="BF217" t="str">
        <f>HYPERLINK("http://dx.doi.org/10.1029/2001GL014618","http://dx.doi.org/10.1029/2001GL014618")</f>
        <v>http://dx.doi.org/10.1029/2001GL014618</v>
      </c>
      <c r="BG217" t="s">
        <v>74</v>
      </c>
      <c r="BH217" t="s">
        <v>74</v>
      </c>
      <c r="BI217">
        <v>4</v>
      </c>
      <c r="BJ217" t="s">
        <v>608</v>
      </c>
      <c r="BK217" t="s">
        <v>170</v>
      </c>
      <c r="BL217" t="s">
        <v>439</v>
      </c>
      <c r="BM217" t="s">
        <v>3318</v>
      </c>
      <c r="BN217" t="s">
        <v>74</v>
      </c>
      <c r="BO217" t="s">
        <v>74</v>
      </c>
      <c r="BP217" t="s">
        <v>74</v>
      </c>
      <c r="BQ217" t="s">
        <v>74</v>
      </c>
      <c r="BR217" t="s">
        <v>107</v>
      </c>
      <c r="BS217" t="s">
        <v>3337</v>
      </c>
      <c r="BT217" t="str">
        <f>HYPERLINK("https%3A%2F%2Fwww.webofscience.com%2Fwos%2Fwoscc%2Ffull-record%2FWOS:000178886800055","View Full Record in Web of Science")</f>
        <v>View Full Record in Web of Science</v>
      </c>
    </row>
    <row r="218" spans="1:72" x14ac:dyDescent="0.15">
      <c r="A218" t="s">
        <v>72</v>
      </c>
      <c r="B218" t="s">
        <v>3338</v>
      </c>
      <c r="C218" t="s">
        <v>74</v>
      </c>
      <c r="D218" t="s">
        <v>74</v>
      </c>
      <c r="E218" t="s">
        <v>74</v>
      </c>
      <c r="F218" t="s">
        <v>3338</v>
      </c>
      <c r="G218" t="s">
        <v>74</v>
      </c>
      <c r="H218" t="s">
        <v>74</v>
      </c>
      <c r="I218" t="s">
        <v>3339</v>
      </c>
      <c r="J218" t="s">
        <v>594</v>
      </c>
      <c r="K218" t="s">
        <v>74</v>
      </c>
      <c r="L218" t="s">
        <v>74</v>
      </c>
      <c r="M218" t="s">
        <v>77</v>
      </c>
      <c r="N218" t="s">
        <v>153</v>
      </c>
      <c r="O218" t="s">
        <v>74</v>
      </c>
      <c r="P218" t="s">
        <v>74</v>
      </c>
      <c r="Q218" t="s">
        <v>74</v>
      </c>
      <c r="R218" t="s">
        <v>74</v>
      </c>
      <c r="S218" t="s">
        <v>74</v>
      </c>
      <c r="T218" t="s">
        <v>74</v>
      </c>
      <c r="U218" t="s">
        <v>3340</v>
      </c>
      <c r="V218" t="s">
        <v>3341</v>
      </c>
      <c r="W218" t="s">
        <v>3342</v>
      </c>
      <c r="X218" t="s">
        <v>3343</v>
      </c>
      <c r="Y218" t="s">
        <v>3344</v>
      </c>
      <c r="Z218" t="s">
        <v>74</v>
      </c>
      <c r="AA218" t="s">
        <v>3345</v>
      </c>
      <c r="AB218" t="s">
        <v>3346</v>
      </c>
      <c r="AC218" t="s">
        <v>74</v>
      </c>
      <c r="AD218" t="s">
        <v>74</v>
      </c>
      <c r="AE218" t="s">
        <v>74</v>
      </c>
      <c r="AF218" t="s">
        <v>74</v>
      </c>
      <c r="AG218">
        <v>12</v>
      </c>
      <c r="AH218">
        <v>10</v>
      </c>
      <c r="AI218">
        <v>10</v>
      </c>
      <c r="AJ218">
        <v>0</v>
      </c>
      <c r="AK218">
        <v>2</v>
      </c>
      <c r="AL218" t="s">
        <v>161</v>
      </c>
      <c r="AM218" t="s">
        <v>162</v>
      </c>
      <c r="AN218" t="s">
        <v>163</v>
      </c>
      <c r="AO218" t="s">
        <v>602</v>
      </c>
      <c r="AP218" t="s">
        <v>74</v>
      </c>
      <c r="AQ218" t="s">
        <v>74</v>
      </c>
      <c r="AR218" t="s">
        <v>604</v>
      </c>
      <c r="AS218" t="s">
        <v>605</v>
      </c>
      <c r="AT218" t="s">
        <v>3303</v>
      </c>
      <c r="AU218">
        <v>2002</v>
      </c>
      <c r="AV218">
        <v>29</v>
      </c>
      <c r="AW218">
        <v>8</v>
      </c>
      <c r="AX218" t="s">
        <v>74</v>
      </c>
      <c r="AY218" t="s">
        <v>74</v>
      </c>
      <c r="AZ218" t="s">
        <v>74</v>
      </c>
      <c r="BA218" t="s">
        <v>74</v>
      </c>
      <c r="BB218" t="s">
        <v>74</v>
      </c>
      <c r="BC218" t="s">
        <v>74</v>
      </c>
      <c r="BD218">
        <v>1192</v>
      </c>
      <c r="BE218" t="s">
        <v>3347</v>
      </c>
      <c r="BF218" t="str">
        <f>HYPERLINK("http://dx.doi.org/10.1029/2002GL014675","http://dx.doi.org/10.1029/2002GL014675")</f>
        <v>http://dx.doi.org/10.1029/2002GL014675</v>
      </c>
      <c r="BG218" t="s">
        <v>74</v>
      </c>
      <c r="BH218" t="s">
        <v>74</v>
      </c>
      <c r="BI218">
        <v>4</v>
      </c>
      <c r="BJ218" t="s">
        <v>608</v>
      </c>
      <c r="BK218" t="s">
        <v>170</v>
      </c>
      <c r="BL218" t="s">
        <v>439</v>
      </c>
      <c r="BM218" t="s">
        <v>3318</v>
      </c>
      <c r="BN218" t="s">
        <v>74</v>
      </c>
      <c r="BO218" t="s">
        <v>74</v>
      </c>
      <c r="BP218" t="s">
        <v>74</v>
      </c>
      <c r="BQ218" t="s">
        <v>74</v>
      </c>
      <c r="BR218" t="s">
        <v>107</v>
      </c>
      <c r="BS218" t="s">
        <v>3348</v>
      </c>
      <c r="BT218" t="str">
        <f>HYPERLINK("https%3A%2F%2Fwww.webofscience.com%2Fwos%2Fwoscc%2Ffull-record%2FWOS:000178886800095","View Full Record in Web of Science")</f>
        <v>View Full Record in Web of Science</v>
      </c>
    </row>
    <row r="219" spans="1:72" x14ac:dyDescent="0.15">
      <c r="A219" t="s">
        <v>72</v>
      </c>
      <c r="B219" t="s">
        <v>3349</v>
      </c>
      <c r="C219" t="s">
        <v>74</v>
      </c>
      <c r="D219" t="s">
        <v>74</v>
      </c>
      <c r="E219" t="s">
        <v>74</v>
      </c>
      <c r="F219" t="s">
        <v>3349</v>
      </c>
      <c r="G219" t="s">
        <v>74</v>
      </c>
      <c r="H219" t="s">
        <v>74</v>
      </c>
      <c r="I219" t="s">
        <v>3350</v>
      </c>
      <c r="J219" t="s">
        <v>594</v>
      </c>
      <c r="K219" t="s">
        <v>74</v>
      </c>
      <c r="L219" t="s">
        <v>74</v>
      </c>
      <c r="M219" t="s">
        <v>77</v>
      </c>
      <c r="N219" t="s">
        <v>153</v>
      </c>
      <c r="O219" t="s">
        <v>74</v>
      </c>
      <c r="P219" t="s">
        <v>74</v>
      </c>
      <c r="Q219" t="s">
        <v>74</v>
      </c>
      <c r="R219" t="s">
        <v>74</v>
      </c>
      <c r="S219" t="s">
        <v>74</v>
      </c>
      <c r="T219" t="s">
        <v>74</v>
      </c>
      <c r="U219" t="s">
        <v>3351</v>
      </c>
      <c r="V219" t="s">
        <v>3352</v>
      </c>
      <c r="W219" t="s">
        <v>3353</v>
      </c>
      <c r="X219" t="s">
        <v>3354</v>
      </c>
      <c r="Y219" t="s">
        <v>3355</v>
      </c>
      <c r="Z219" t="s">
        <v>3356</v>
      </c>
      <c r="AA219" t="s">
        <v>3357</v>
      </c>
      <c r="AB219" t="s">
        <v>3358</v>
      </c>
      <c r="AC219" t="s">
        <v>74</v>
      </c>
      <c r="AD219" t="s">
        <v>74</v>
      </c>
      <c r="AE219" t="s">
        <v>74</v>
      </c>
      <c r="AF219" t="s">
        <v>74</v>
      </c>
      <c r="AG219">
        <v>17</v>
      </c>
      <c r="AH219">
        <v>48</v>
      </c>
      <c r="AI219">
        <v>54</v>
      </c>
      <c r="AJ219">
        <v>0</v>
      </c>
      <c r="AK219">
        <v>3</v>
      </c>
      <c r="AL219" t="s">
        <v>161</v>
      </c>
      <c r="AM219" t="s">
        <v>162</v>
      </c>
      <c r="AN219" t="s">
        <v>163</v>
      </c>
      <c r="AO219" t="s">
        <v>602</v>
      </c>
      <c r="AP219" t="s">
        <v>603</v>
      </c>
      <c r="AQ219" t="s">
        <v>74</v>
      </c>
      <c r="AR219" t="s">
        <v>604</v>
      </c>
      <c r="AS219" t="s">
        <v>605</v>
      </c>
      <c r="AT219" t="s">
        <v>3303</v>
      </c>
      <c r="AU219">
        <v>2002</v>
      </c>
      <c r="AV219">
        <v>29</v>
      </c>
      <c r="AW219">
        <v>8</v>
      </c>
      <c r="AX219" t="s">
        <v>74</v>
      </c>
      <c r="AY219" t="s">
        <v>74</v>
      </c>
      <c r="AZ219" t="s">
        <v>74</v>
      </c>
      <c r="BA219" t="s">
        <v>74</v>
      </c>
      <c r="BB219" t="s">
        <v>74</v>
      </c>
      <c r="BC219" t="s">
        <v>74</v>
      </c>
      <c r="BD219">
        <v>1226</v>
      </c>
      <c r="BE219" t="s">
        <v>3359</v>
      </c>
      <c r="BF219" t="str">
        <f>HYPERLINK("http://dx.doi.org/10.1029/2001GL014606","http://dx.doi.org/10.1029/2001GL014606")</f>
        <v>http://dx.doi.org/10.1029/2001GL014606</v>
      </c>
      <c r="BG219" t="s">
        <v>74</v>
      </c>
      <c r="BH219" t="s">
        <v>74</v>
      </c>
      <c r="BI219">
        <v>4</v>
      </c>
      <c r="BJ219" t="s">
        <v>608</v>
      </c>
      <c r="BK219" t="s">
        <v>170</v>
      </c>
      <c r="BL219" t="s">
        <v>439</v>
      </c>
      <c r="BM219" t="s">
        <v>3318</v>
      </c>
      <c r="BN219" t="s">
        <v>74</v>
      </c>
      <c r="BO219" t="s">
        <v>173</v>
      </c>
      <c r="BP219" t="s">
        <v>74</v>
      </c>
      <c r="BQ219" t="s">
        <v>74</v>
      </c>
      <c r="BR219" t="s">
        <v>107</v>
      </c>
      <c r="BS219" t="s">
        <v>3360</v>
      </c>
      <c r="BT219" t="str">
        <f>HYPERLINK("https%3A%2F%2Fwww.webofscience.com%2Fwos%2Fwoscc%2Ffull-record%2FWOS:000178886800061","View Full Record in Web of Science")</f>
        <v>View Full Record in Web of Science</v>
      </c>
    </row>
    <row r="220" spans="1:72" x14ac:dyDescent="0.15">
      <c r="A220" t="s">
        <v>72</v>
      </c>
      <c r="B220" t="s">
        <v>622</v>
      </c>
      <c r="C220" t="s">
        <v>74</v>
      </c>
      <c r="D220" t="s">
        <v>74</v>
      </c>
      <c r="E220" t="s">
        <v>74</v>
      </c>
      <c r="F220" t="s">
        <v>622</v>
      </c>
      <c r="G220" t="s">
        <v>74</v>
      </c>
      <c r="H220" t="s">
        <v>74</v>
      </c>
      <c r="I220" t="s">
        <v>3361</v>
      </c>
      <c r="J220" t="s">
        <v>594</v>
      </c>
      <c r="K220" t="s">
        <v>74</v>
      </c>
      <c r="L220" t="s">
        <v>74</v>
      </c>
      <c r="M220" t="s">
        <v>77</v>
      </c>
      <c r="N220" t="s">
        <v>153</v>
      </c>
      <c r="O220" t="s">
        <v>74</v>
      </c>
      <c r="P220" t="s">
        <v>74</v>
      </c>
      <c r="Q220" t="s">
        <v>74</v>
      </c>
      <c r="R220" t="s">
        <v>74</v>
      </c>
      <c r="S220" t="s">
        <v>74</v>
      </c>
      <c r="T220" t="s">
        <v>74</v>
      </c>
      <c r="U220" t="s">
        <v>3362</v>
      </c>
      <c r="V220" t="s">
        <v>3363</v>
      </c>
      <c r="W220" t="s">
        <v>3364</v>
      </c>
      <c r="X220" t="s">
        <v>3365</v>
      </c>
      <c r="Y220" t="s">
        <v>3366</v>
      </c>
      <c r="Z220" t="s">
        <v>74</v>
      </c>
      <c r="AA220" t="s">
        <v>74</v>
      </c>
      <c r="AB220" t="s">
        <v>74</v>
      </c>
      <c r="AC220" t="s">
        <v>74</v>
      </c>
      <c r="AD220" t="s">
        <v>74</v>
      </c>
      <c r="AE220" t="s">
        <v>74</v>
      </c>
      <c r="AF220" t="s">
        <v>74</v>
      </c>
      <c r="AG220">
        <v>14</v>
      </c>
      <c r="AH220">
        <v>38</v>
      </c>
      <c r="AI220">
        <v>40</v>
      </c>
      <c r="AJ220">
        <v>0</v>
      </c>
      <c r="AK220">
        <v>7</v>
      </c>
      <c r="AL220" t="s">
        <v>161</v>
      </c>
      <c r="AM220" t="s">
        <v>162</v>
      </c>
      <c r="AN220" t="s">
        <v>163</v>
      </c>
      <c r="AO220" t="s">
        <v>602</v>
      </c>
      <c r="AP220" t="s">
        <v>74</v>
      </c>
      <c r="AQ220" t="s">
        <v>74</v>
      </c>
      <c r="AR220" t="s">
        <v>604</v>
      </c>
      <c r="AS220" t="s">
        <v>605</v>
      </c>
      <c r="AT220" t="s">
        <v>3303</v>
      </c>
      <c r="AU220">
        <v>2002</v>
      </c>
      <c r="AV220">
        <v>29</v>
      </c>
      <c r="AW220">
        <v>8</v>
      </c>
      <c r="AX220" t="s">
        <v>74</v>
      </c>
      <c r="AY220" t="s">
        <v>74</v>
      </c>
      <c r="AZ220" t="s">
        <v>74</v>
      </c>
      <c r="BA220" t="s">
        <v>74</v>
      </c>
      <c r="BB220" t="s">
        <v>74</v>
      </c>
      <c r="BC220" t="s">
        <v>74</v>
      </c>
      <c r="BD220">
        <v>1235</v>
      </c>
      <c r="BE220" t="s">
        <v>3367</v>
      </c>
      <c r="BF220" t="str">
        <f>HYPERLINK("http://dx.doi.org/10.1029/2001GL014256","http://dx.doi.org/10.1029/2001GL014256")</f>
        <v>http://dx.doi.org/10.1029/2001GL014256</v>
      </c>
      <c r="BG220" t="s">
        <v>74</v>
      </c>
      <c r="BH220" t="s">
        <v>74</v>
      </c>
      <c r="BI220">
        <v>4</v>
      </c>
      <c r="BJ220" t="s">
        <v>608</v>
      </c>
      <c r="BK220" t="s">
        <v>170</v>
      </c>
      <c r="BL220" t="s">
        <v>439</v>
      </c>
      <c r="BM220" t="s">
        <v>3318</v>
      </c>
      <c r="BN220" t="s">
        <v>74</v>
      </c>
      <c r="BO220" t="s">
        <v>173</v>
      </c>
      <c r="BP220" t="s">
        <v>74</v>
      </c>
      <c r="BQ220" t="s">
        <v>74</v>
      </c>
      <c r="BR220" t="s">
        <v>107</v>
      </c>
      <c r="BS220" t="s">
        <v>3368</v>
      </c>
      <c r="BT220" t="str">
        <f>HYPERLINK("https%3A%2F%2Fwww.webofscience.com%2Fwos%2Fwoscc%2Ffull-record%2FWOS:000178886800050","View Full Record in Web of Science")</f>
        <v>View Full Record in Web of Science</v>
      </c>
    </row>
    <row r="221" spans="1:72" x14ac:dyDescent="0.15">
      <c r="A221" t="s">
        <v>72</v>
      </c>
      <c r="B221" t="s">
        <v>3369</v>
      </c>
      <c r="C221" t="s">
        <v>74</v>
      </c>
      <c r="D221" t="s">
        <v>74</v>
      </c>
      <c r="E221" t="s">
        <v>74</v>
      </c>
      <c r="F221" t="s">
        <v>3369</v>
      </c>
      <c r="G221" t="s">
        <v>74</v>
      </c>
      <c r="H221" t="s">
        <v>74</v>
      </c>
      <c r="I221" t="s">
        <v>3370</v>
      </c>
      <c r="J221" t="s">
        <v>594</v>
      </c>
      <c r="K221" t="s">
        <v>74</v>
      </c>
      <c r="L221" t="s">
        <v>74</v>
      </c>
      <c r="M221" t="s">
        <v>77</v>
      </c>
      <c r="N221" t="s">
        <v>153</v>
      </c>
      <c r="O221" t="s">
        <v>74</v>
      </c>
      <c r="P221" t="s">
        <v>74</v>
      </c>
      <c r="Q221" t="s">
        <v>74</v>
      </c>
      <c r="R221" t="s">
        <v>74</v>
      </c>
      <c r="S221" t="s">
        <v>74</v>
      </c>
      <c r="T221" t="s">
        <v>74</v>
      </c>
      <c r="U221" t="s">
        <v>74</v>
      </c>
      <c r="V221" t="s">
        <v>3371</v>
      </c>
      <c r="W221" t="s">
        <v>3372</v>
      </c>
      <c r="X221" t="s">
        <v>3373</v>
      </c>
      <c r="Y221" t="s">
        <v>3374</v>
      </c>
      <c r="Z221" t="s">
        <v>74</v>
      </c>
      <c r="AA221" t="s">
        <v>3375</v>
      </c>
      <c r="AB221" t="s">
        <v>3335</v>
      </c>
      <c r="AC221" t="s">
        <v>74</v>
      </c>
      <c r="AD221" t="s">
        <v>74</v>
      </c>
      <c r="AE221" t="s">
        <v>74</v>
      </c>
      <c r="AF221" t="s">
        <v>74</v>
      </c>
      <c r="AG221">
        <v>12</v>
      </c>
      <c r="AH221">
        <v>25</v>
      </c>
      <c r="AI221">
        <v>27</v>
      </c>
      <c r="AJ221">
        <v>0</v>
      </c>
      <c r="AK221">
        <v>5</v>
      </c>
      <c r="AL221" t="s">
        <v>161</v>
      </c>
      <c r="AM221" t="s">
        <v>162</v>
      </c>
      <c r="AN221" t="s">
        <v>163</v>
      </c>
      <c r="AO221" t="s">
        <v>602</v>
      </c>
      <c r="AP221" t="s">
        <v>74</v>
      </c>
      <c r="AQ221" t="s">
        <v>74</v>
      </c>
      <c r="AR221" t="s">
        <v>604</v>
      </c>
      <c r="AS221" t="s">
        <v>605</v>
      </c>
      <c r="AT221" t="s">
        <v>3303</v>
      </c>
      <c r="AU221">
        <v>2002</v>
      </c>
      <c r="AV221">
        <v>29</v>
      </c>
      <c r="AW221">
        <v>8</v>
      </c>
      <c r="AX221" t="s">
        <v>74</v>
      </c>
      <c r="AY221" t="s">
        <v>74</v>
      </c>
      <c r="AZ221" t="s">
        <v>74</v>
      </c>
      <c r="BA221" t="s">
        <v>74</v>
      </c>
      <c r="BB221" t="s">
        <v>74</v>
      </c>
      <c r="BC221" t="s">
        <v>74</v>
      </c>
      <c r="BD221">
        <v>1193</v>
      </c>
      <c r="BE221" t="s">
        <v>3376</v>
      </c>
      <c r="BF221" t="str">
        <f>HYPERLINK("http://dx.doi.org/10.1029/2001GL014589","http://dx.doi.org/10.1029/2001GL014589")</f>
        <v>http://dx.doi.org/10.1029/2001GL014589</v>
      </c>
      <c r="BG221" t="s">
        <v>74</v>
      </c>
      <c r="BH221" t="s">
        <v>74</v>
      </c>
      <c r="BI221">
        <v>4</v>
      </c>
      <c r="BJ221" t="s">
        <v>608</v>
      </c>
      <c r="BK221" t="s">
        <v>170</v>
      </c>
      <c r="BL221" t="s">
        <v>439</v>
      </c>
      <c r="BM221" t="s">
        <v>3318</v>
      </c>
      <c r="BN221" t="s">
        <v>74</v>
      </c>
      <c r="BO221" t="s">
        <v>74</v>
      </c>
      <c r="BP221" t="s">
        <v>74</v>
      </c>
      <c r="BQ221" t="s">
        <v>74</v>
      </c>
      <c r="BR221" t="s">
        <v>107</v>
      </c>
      <c r="BS221" t="s">
        <v>3377</v>
      </c>
      <c r="BT221" t="str">
        <f>HYPERLINK("https%3A%2F%2Fwww.webofscience.com%2Fwos%2Fwoscc%2Ffull-record%2FWOS:000178886800094","View Full Record in Web of Science")</f>
        <v>View Full Record in Web of Science</v>
      </c>
    </row>
    <row r="222" spans="1:72" x14ac:dyDescent="0.15">
      <c r="A222" t="s">
        <v>72</v>
      </c>
      <c r="B222" t="s">
        <v>3378</v>
      </c>
      <c r="C222" t="s">
        <v>74</v>
      </c>
      <c r="D222" t="s">
        <v>74</v>
      </c>
      <c r="E222" t="s">
        <v>74</v>
      </c>
      <c r="F222" t="s">
        <v>3378</v>
      </c>
      <c r="G222" t="s">
        <v>74</v>
      </c>
      <c r="H222" t="s">
        <v>74</v>
      </c>
      <c r="I222" t="s">
        <v>3379</v>
      </c>
      <c r="J222" t="s">
        <v>594</v>
      </c>
      <c r="K222" t="s">
        <v>74</v>
      </c>
      <c r="L222" t="s">
        <v>74</v>
      </c>
      <c r="M222" t="s">
        <v>77</v>
      </c>
      <c r="N222" t="s">
        <v>153</v>
      </c>
      <c r="O222" t="s">
        <v>74</v>
      </c>
      <c r="P222" t="s">
        <v>74</v>
      </c>
      <c r="Q222" t="s">
        <v>74</v>
      </c>
      <c r="R222" t="s">
        <v>74</v>
      </c>
      <c r="S222" t="s">
        <v>74</v>
      </c>
      <c r="T222" t="s">
        <v>74</v>
      </c>
      <c r="U222" t="s">
        <v>3380</v>
      </c>
      <c r="V222" t="s">
        <v>3381</v>
      </c>
      <c r="W222" t="s">
        <v>3382</v>
      </c>
      <c r="X222" t="s">
        <v>3383</v>
      </c>
      <c r="Y222" t="s">
        <v>3384</v>
      </c>
      <c r="Z222" t="s">
        <v>3385</v>
      </c>
      <c r="AA222" t="s">
        <v>3386</v>
      </c>
      <c r="AB222" t="s">
        <v>3387</v>
      </c>
      <c r="AC222" t="s">
        <v>74</v>
      </c>
      <c r="AD222" t="s">
        <v>74</v>
      </c>
      <c r="AE222" t="s">
        <v>74</v>
      </c>
      <c r="AF222" t="s">
        <v>74</v>
      </c>
      <c r="AG222">
        <v>15</v>
      </c>
      <c r="AH222">
        <v>22</v>
      </c>
      <c r="AI222">
        <v>22</v>
      </c>
      <c r="AJ222">
        <v>0</v>
      </c>
      <c r="AK222">
        <v>1</v>
      </c>
      <c r="AL222" t="s">
        <v>161</v>
      </c>
      <c r="AM222" t="s">
        <v>162</v>
      </c>
      <c r="AN222" t="s">
        <v>163</v>
      </c>
      <c r="AO222" t="s">
        <v>602</v>
      </c>
      <c r="AP222" t="s">
        <v>603</v>
      </c>
      <c r="AQ222" t="s">
        <v>74</v>
      </c>
      <c r="AR222" t="s">
        <v>604</v>
      </c>
      <c r="AS222" t="s">
        <v>605</v>
      </c>
      <c r="AT222" t="s">
        <v>3303</v>
      </c>
      <c r="AU222">
        <v>2002</v>
      </c>
      <c r="AV222">
        <v>29</v>
      </c>
      <c r="AW222">
        <v>8</v>
      </c>
      <c r="AX222" t="s">
        <v>74</v>
      </c>
      <c r="AY222" t="s">
        <v>74</v>
      </c>
      <c r="AZ222" t="s">
        <v>74</v>
      </c>
      <c r="BA222" t="s">
        <v>74</v>
      </c>
      <c r="BB222" t="s">
        <v>74</v>
      </c>
      <c r="BC222" t="s">
        <v>74</v>
      </c>
      <c r="BD222">
        <v>1162</v>
      </c>
      <c r="BE222" t="s">
        <v>3388</v>
      </c>
      <c r="BF222" t="str">
        <f>HYPERLINK("http://dx.doi.org/10.1029/2001GL014026","http://dx.doi.org/10.1029/2001GL014026")</f>
        <v>http://dx.doi.org/10.1029/2001GL014026</v>
      </c>
      <c r="BG222" t="s">
        <v>74</v>
      </c>
      <c r="BH222" t="s">
        <v>74</v>
      </c>
      <c r="BI222">
        <v>4</v>
      </c>
      <c r="BJ222" t="s">
        <v>608</v>
      </c>
      <c r="BK222" t="s">
        <v>170</v>
      </c>
      <c r="BL222" t="s">
        <v>439</v>
      </c>
      <c r="BM222" t="s">
        <v>3318</v>
      </c>
      <c r="BN222" t="s">
        <v>74</v>
      </c>
      <c r="BO222" t="s">
        <v>74</v>
      </c>
      <c r="BP222" t="s">
        <v>74</v>
      </c>
      <c r="BQ222" t="s">
        <v>74</v>
      </c>
      <c r="BR222" t="s">
        <v>107</v>
      </c>
      <c r="BS222" t="s">
        <v>3389</v>
      </c>
      <c r="BT222" t="str">
        <f>HYPERLINK("https%3A%2F%2Fwww.webofscience.com%2Fwos%2Fwoscc%2Ffull-record%2FWOS:000178886800124","View Full Record in Web of Science")</f>
        <v>View Full Record in Web of Science</v>
      </c>
    </row>
    <row r="223" spans="1:72" x14ac:dyDescent="0.15">
      <c r="A223" t="s">
        <v>72</v>
      </c>
      <c r="B223" t="s">
        <v>3390</v>
      </c>
      <c r="C223" t="s">
        <v>74</v>
      </c>
      <c r="D223" t="s">
        <v>74</v>
      </c>
      <c r="E223" t="s">
        <v>74</v>
      </c>
      <c r="F223" t="s">
        <v>3390</v>
      </c>
      <c r="G223" t="s">
        <v>74</v>
      </c>
      <c r="H223" t="s">
        <v>74</v>
      </c>
      <c r="I223" t="s">
        <v>3391</v>
      </c>
      <c r="J223" t="s">
        <v>594</v>
      </c>
      <c r="K223" t="s">
        <v>74</v>
      </c>
      <c r="L223" t="s">
        <v>74</v>
      </c>
      <c r="M223" t="s">
        <v>77</v>
      </c>
      <c r="N223" t="s">
        <v>153</v>
      </c>
      <c r="O223" t="s">
        <v>74</v>
      </c>
      <c r="P223" t="s">
        <v>74</v>
      </c>
      <c r="Q223" t="s">
        <v>74</v>
      </c>
      <c r="R223" t="s">
        <v>74</v>
      </c>
      <c r="S223" t="s">
        <v>74</v>
      </c>
      <c r="T223" t="s">
        <v>74</v>
      </c>
      <c r="U223" t="s">
        <v>3392</v>
      </c>
      <c r="V223" t="s">
        <v>3393</v>
      </c>
      <c r="W223" t="s">
        <v>3394</v>
      </c>
      <c r="X223" t="s">
        <v>3395</v>
      </c>
      <c r="Y223" t="s">
        <v>3396</v>
      </c>
      <c r="Z223" t="s">
        <v>74</v>
      </c>
      <c r="AA223" t="s">
        <v>3397</v>
      </c>
      <c r="AB223" t="s">
        <v>3398</v>
      </c>
      <c r="AC223" t="s">
        <v>74</v>
      </c>
      <c r="AD223" t="s">
        <v>74</v>
      </c>
      <c r="AE223" t="s">
        <v>74</v>
      </c>
      <c r="AF223" t="s">
        <v>74</v>
      </c>
      <c r="AG223">
        <v>18</v>
      </c>
      <c r="AH223">
        <v>12</v>
      </c>
      <c r="AI223">
        <v>12</v>
      </c>
      <c r="AJ223">
        <v>0</v>
      </c>
      <c r="AK223">
        <v>5</v>
      </c>
      <c r="AL223" t="s">
        <v>161</v>
      </c>
      <c r="AM223" t="s">
        <v>162</v>
      </c>
      <c r="AN223" t="s">
        <v>163</v>
      </c>
      <c r="AO223" t="s">
        <v>602</v>
      </c>
      <c r="AP223" t="s">
        <v>74</v>
      </c>
      <c r="AQ223" t="s">
        <v>74</v>
      </c>
      <c r="AR223" t="s">
        <v>604</v>
      </c>
      <c r="AS223" t="s">
        <v>605</v>
      </c>
      <c r="AT223" t="s">
        <v>3303</v>
      </c>
      <c r="AU223">
        <v>2002</v>
      </c>
      <c r="AV223">
        <v>29</v>
      </c>
      <c r="AW223">
        <v>8</v>
      </c>
      <c r="AX223" t="s">
        <v>74</v>
      </c>
      <c r="AY223" t="s">
        <v>74</v>
      </c>
      <c r="AZ223" t="s">
        <v>74</v>
      </c>
      <c r="BA223" t="s">
        <v>74</v>
      </c>
      <c r="BB223" t="s">
        <v>74</v>
      </c>
      <c r="BC223" t="s">
        <v>74</v>
      </c>
      <c r="BD223">
        <v>1184</v>
      </c>
      <c r="BE223" t="s">
        <v>3399</v>
      </c>
      <c r="BF223" t="str">
        <f>HYPERLINK("http://dx.doi.org/10.1029/2001GL014147","http://dx.doi.org/10.1029/2001GL014147")</f>
        <v>http://dx.doi.org/10.1029/2001GL014147</v>
      </c>
      <c r="BG223" t="s">
        <v>74</v>
      </c>
      <c r="BH223" t="s">
        <v>74</v>
      </c>
      <c r="BI223">
        <v>4</v>
      </c>
      <c r="BJ223" t="s">
        <v>608</v>
      </c>
      <c r="BK223" t="s">
        <v>170</v>
      </c>
      <c r="BL223" t="s">
        <v>439</v>
      </c>
      <c r="BM223" t="s">
        <v>3318</v>
      </c>
      <c r="BN223" t="s">
        <v>74</v>
      </c>
      <c r="BO223" t="s">
        <v>173</v>
      </c>
      <c r="BP223" t="s">
        <v>74</v>
      </c>
      <c r="BQ223" t="s">
        <v>74</v>
      </c>
      <c r="BR223" t="s">
        <v>107</v>
      </c>
      <c r="BS223" t="s">
        <v>3400</v>
      </c>
      <c r="BT223" t="str">
        <f>HYPERLINK("https%3A%2F%2Fwww.webofscience.com%2Fwos%2Fwoscc%2Ffull-record%2FWOS:000178886800103","View Full Record in Web of Science")</f>
        <v>View Full Record in Web of Science</v>
      </c>
    </row>
    <row r="224" spans="1:72" x14ac:dyDescent="0.15">
      <c r="A224" t="s">
        <v>72</v>
      </c>
      <c r="B224" t="s">
        <v>3401</v>
      </c>
      <c r="C224" t="s">
        <v>74</v>
      </c>
      <c r="D224" t="s">
        <v>74</v>
      </c>
      <c r="E224" t="s">
        <v>74</v>
      </c>
      <c r="F224" t="s">
        <v>3401</v>
      </c>
      <c r="G224" t="s">
        <v>74</v>
      </c>
      <c r="H224" t="s">
        <v>74</v>
      </c>
      <c r="I224" t="s">
        <v>3402</v>
      </c>
      <c r="J224" t="s">
        <v>594</v>
      </c>
      <c r="K224" t="s">
        <v>74</v>
      </c>
      <c r="L224" t="s">
        <v>74</v>
      </c>
      <c r="M224" t="s">
        <v>77</v>
      </c>
      <c r="N224" t="s">
        <v>153</v>
      </c>
      <c r="O224" t="s">
        <v>74</v>
      </c>
      <c r="P224" t="s">
        <v>74</v>
      </c>
      <c r="Q224" t="s">
        <v>74</v>
      </c>
      <c r="R224" t="s">
        <v>74</v>
      </c>
      <c r="S224" t="s">
        <v>74</v>
      </c>
      <c r="T224" t="s">
        <v>74</v>
      </c>
      <c r="U224" t="s">
        <v>3403</v>
      </c>
      <c r="V224" t="s">
        <v>3404</v>
      </c>
      <c r="W224" t="s">
        <v>3405</v>
      </c>
      <c r="X224" t="s">
        <v>3406</v>
      </c>
      <c r="Y224" t="s">
        <v>3407</v>
      </c>
      <c r="Z224" t="s">
        <v>74</v>
      </c>
      <c r="AA224" t="s">
        <v>3408</v>
      </c>
      <c r="AB224" t="s">
        <v>3409</v>
      </c>
      <c r="AC224" t="s">
        <v>74</v>
      </c>
      <c r="AD224" t="s">
        <v>74</v>
      </c>
      <c r="AE224" t="s">
        <v>74</v>
      </c>
      <c r="AF224" t="s">
        <v>74</v>
      </c>
      <c r="AG224">
        <v>19</v>
      </c>
      <c r="AH224">
        <v>11</v>
      </c>
      <c r="AI224">
        <v>11</v>
      </c>
      <c r="AJ224">
        <v>0</v>
      </c>
      <c r="AK224">
        <v>0</v>
      </c>
      <c r="AL224" t="s">
        <v>161</v>
      </c>
      <c r="AM224" t="s">
        <v>162</v>
      </c>
      <c r="AN224" t="s">
        <v>163</v>
      </c>
      <c r="AO224" t="s">
        <v>602</v>
      </c>
      <c r="AP224" t="s">
        <v>603</v>
      </c>
      <c r="AQ224" t="s">
        <v>74</v>
      </c>
      <c r="AR224" t="s">
        <v>604</v>
      </c>
      <c r="AS224" t="s">
        <v>605</v>
      </c>
      <c r="AT224" t="s">
        <v>3303</v>
      </c>
      <c r="AU224">
        <v>2002</v>
      </c>
      <c r="AV224">
        <v>29</v>
      </c>
      <c r="AW224">
        <v>8</v>
      </c>
      <c r="AX224" t="s">
        <v>74</v>
      </c>
      <c r="AY224" t="s">
        <v>74</v>
      </c>
      <c r="AZ224" t="s">
        <v>74</v>
      </c>
      <c r="BA224" t="s">
        <v>74</v>
      </c>
      <c r="BB224" t="s">
        <v>74</v>
      </c>
      <c r="BC224" t="s">
        <v>74</v>
      </c>
      <c r="BD224">
        <v>1198</v>
      </c>
      <c r="BE224" t="s">
        <v>3410</v>
      </c>
      <c r="BF224" t="str">
        <f>HYPERLINK("http://dx.doi.org/10.1029/2001GL014109","http://dx.doi.org/10.1029/2001GL014109")</f>
        <v>http://dx.doi.org/10.1029/2001GL014109</v>
      </c>
      <c r="BG224" t="s">
        <v>74</v>
      </c>
      <c r="BH224" t="s">
        <v>74</v>
      </c>
      <c r="BI224">
        <v>4</v>
      </c>
      <c r="BJ224" t="s">
        <v>608</v>
      </c>
      <c r="BK224" t="s">
        <v>170</v>
      </c>
      <c r="BL224" t="s">
        <v>439</v>
      </c>
      <c r="BM224" t="s">
        <v>3318</v>
      </c>
      <c r="BN224" t="s">
        <v>74</v>
      </c>
      <c r="BO224" t="s">
        <v>173</v>
      </c>
      <c r="BP224" t="s">
        <v>74</v>
      </c>
      <c r="BQ224" t="s">
        <v>74</v>
      </c>
      <c r="BR224" t="s">
        <v>107</v>
      </c>
      <c r="BS224" t="s">
        <v>3411</v>
      </c>
      <c r="BT224" t="str">
        <f>HYPERLINK("https%3A%2F%2Fwww.webofscience.com%2Fwos%2Fwoscc%2Ffull-record%2FWOS:000178886800089","View Full Record in Web of Science")</f>
        <v>View Full Record in Web of Science</v>
      </c>
    </row>
    <row r="225" spans="1:72" x14ac:dyDescent="0.15">
      <c r="A225" t="s">
        <v>72</v>
      </c>
      <c r="B225" t="s">
        <v>3412</v>
      </c>
      <c r="C225" t="s">
        <v>74</v>
      </c>
      <c r="D225" t="s">
        <v>74</v>
      </c>
      <c r="E225" t="s">
        <v>74</v>
      </c>
      <c r="F225" t="s">
        <v>3412</v>
      </c>
      <c r="G225" t="s">
        <v>74</v>
      </c>
      <c r="H225" t="s">
        <v>74</v>
      </c>
      <c r="I225" t="s">
        <v>3413</v>
      </c>
      <c r="J225" t="s">
        <v>1358</v>
      </c>
      <c r="K225" t="s">
        <v>74</v>
      </c>
      <c r="L225" t="s">
        <v>74</v>
      </c>
      <c r="M225" t="s">
        <v>77</v>
      </c>
      <c r="N225" t="s">
        <v>153</v>
      </c>
      <c r="O225" t="s">
        <v>74</v>
      </c>
      <c r="P225" t="s">
        <v>74</v>
      </c>
      <c r="Q225" t="s">
        <v>74</v>
      </c>
      <c r="R225" t="s">
        <v>74</v>
      </c>
      <c r="S225" t="s">
        <v>74</v>
      </c>
      <c r="T225" t="s">
        <v>3414</v>
      </c>
      <c r="U225" t="s">
        <v>3415</v>
      </c>
      <c r="V225" t="s">
        <v>3416</v>
      </c>
      <c r="W225" t="s">
        <v>3417</v>
      </c>
      <c r="X225" t="s">
        <v>3418</v>
      </c>
      <c r="Y225" t="s">
        <v>3419</v>
      </c>
      <c r="Z225" t="s">
        <v>3420</v>
      </c>
      <c r="AA225" t="s">
        <v>74</v>
      </c>
      <c r="AB225" t="s">
        <v>74</v>
      </c>
      <c r="AC225" t="s">
        <v>74</v>
      </c>
      <c r="AD225" t="s">
        <v>74</v>
      </c>
      <c r="AE225" t="s">
        <v>74</v>
      </c>
      <c r="AF225" t="s">
        <v>74</v>
      </c>
      <c r="AG225">
        <v>92</v>
      </c>
      <c r="AH225">
        <v>31</v>
      </c>
      <c r="AI225">
        <v>34</v>
      </c>
      <c r="AJ225">
        <v>0</v>
      </c>
      <c r="AK225">
        <v>20</v>
      </c>
      <c r="AL225" t="s">
        <v>132</v>
      </c>
      <c r="AM225" t="s">
        <v>91</v>
      </c>
      <c r="AN225" t="s">
        <v>133</v>
      </c>
      <c r="AO225" t="s">
        <v>1370</v>
      </c>
      <c r="AP225" t="s">
        <v>3421</v>
      </c>
      <c r="AQ225" t="s">
        <v>74</v>
      </c>
      <c r="AR225" t="s">
        <v>1371</v>
      </c>
      <c r="AS225" t="s">
        <v>1372</v>
      </c>
      <c r="AT225" t="s">
        <v>3303</v>
      </c>
      <c r="AU225">
        <v>2002</v>
      </c>
      <c r="AV225">
        <v>32</v>
      </c>
      <c r="AW225" t="s">
        <v>3422</v>
      </c>
      <c r="AX225" t="s">
        <v>74</v>
      </c>
      <c r="AY225" t="s">
        <v>74</v>
      </c>
      <c r="AZ225" t="s">
        <v>74</v>
      </c>
      <c r="BA225" t="s">
        <v>74</v>
      </c>
      <c r="BB225">
        <v>165</v>
      </c>
      <c r="BC225">
        <v>194</v>
      </c>
      <c r="BD225" t="s">
        <v>3423</v>
      </c>
      <c r="BE225" t="s">
        <v>3424</v>
      </c>
      <c r="BF225" t="str">
        <f>HYPERLINK("http://dx.doi.org/10.1016/S0921-8181(01)00140-0","http://dx.doi.org/10.1016/S0921-8181(01)00140-0")</f>
        <v>http://dx.doi.org/10.1016/S0921-8181(01)00140-0</v>
      </c>
      <c r="BG225" t="s">
        <v>74</v>
      </c>
      <c r="BH225" t="s">
        <v>74</v>
      </c>
      <c r="BI225">
        <v>30</v>
      </c>
      <c r="BJ225" t="s">
        <v>1218</v>
      </c>
      <c r="BK225" t="s">
        <v>170</v>
      </c>
      <c r="BL225" t="s">
        <v>224</v>
      </c>
      <c r="BM225" t="s">
        <v>3425</v>
      </c>
      <c r="BN225" t="s">
        <v>74</v>
      </c>
      <c r="BO225" t="s">
        <v>74</v>
      </c>
      <c r="BP225" t="s">
        <v>74</v>
      </c>
      <c r="BQ225" t="s">
        <v>74</v>
      </c>
      <c r="BR225" t="s">
        <v>107</v>
      </c>
      <c r="BS225" t="s">
        <v>3426</v>
      </c>
      <c r="BT225" t="str">
        <f>HYPERLINK("https%3A%2F%2Fwww.webofscience.com%2Fwos%2Fwoscc%2Ffull-record%2FWOS:000175961600005","View Full Record in Web of Science")</f>
        <v>View Full Record in Web of Science</v>
      </c>
    </row>
    <row r="226" spans="1:72" x14ac:dyDescent="0.15">
      <c r="A226" t="s">
        <v>72</v>
      </c>
      <c r="B226" t="s">
        <v>3427</v>
      </c>
      <c r="C226" t="s">
        <v>74</v>
      </c>
      <c r="D226" t="s">
        <v>74</v>
      </c>
      <c r="E226" t="s">
        <v>74</v>
      </c>
      <c r="F226" t="s">
        <v>3427</v>
      </c>
      <c r="G226" t="s">
        <v>74</v>
      </c>
      <c r="H226" t="s">
        <v>74</v>
      </c>
      <c r="I226" t="s">
        <v>3428</v>
      </c>
      <c r="J226" t="s">
        <v>1430</v>
      </c>
      <c r="K226" t="s">
        <v>74</v>
      </c>
      <c r="L226" t="s">
        <v>74</v>
      </c>
      <c r="M226" t="s">
        <v>77</v>
      </c>
      <c r="N226" t="s">
        <v>153</v>
      </c>
      <c r="O226" t="s">
        <v>74</v>
      </c>
      <c r="P226" t="s">
        <v>74</v>
      </c>
      <c r="Q226" t="s">
        <v>74</v>
      </c>
      <c r="R226" t="s">
        <v>74</v>
      </c>
      <c r="S226" t="s">
        <v>74</v>
      </c>
      <c r="T226" t="s">
        <v>74</v>
      </c>
      <c r="U226" t="s">
        <v>3429</v>
      </c>
      <c r="V226" t="s">
        <v>3430</v>
      </c>
      <c r="W226" t="s">
        <v>3431</v>
      </c>
      <c r="X226" t="s">
        <v>1267</v>
      </c>
      <c r="Y226" t="s">
        <v>3432</v>
      </c>
      <c r="Z226" t="s">
        <v>74</v>
      </c>
      <c r="AA226" t="s">
        <v>74</v>
      </c>
      <c r="AB226" t="s">
        <v>3433</v>
      </c>
      <c r="AC226" t="s">
        <v>74</v>
      </c>
      <c r="AD226" t="s">
        <v>74</v>
      </c>
      <c r="AE226" t="s">
        <v>74</v>
      </c>
      <c r="AF226" t="s">
        <v>74</v>
      </c>
      <c r="AG226">
        <v>60</v>
      </c>
      <c r="AH226">
        <v>46</v>
      </c>
      <c r="AI226">
        <v>53</v>
      </c>
      <c r="AJ226">
        <v>1</v>
      </c>
      <c r="AK226">
        <v>7</v>
      </c>
      <c r="AL226" t="s">
        <v>1439</v>
      </c>
      <c r="AM226" t="s">
        <v>1440</v>
      </c>
      <c r="AN226" t="s">
        <v>1441</v>
      </c>
      <c r="AO226" t="s">
        <v>1442</v>
      </c>
      <c r="AP226" t="s">
        <v>74</v>
      </c>
      <c r="AQ226" t="s">
        <v>74</v>
      </c>
      <c r="AR226" t="s">
        <v>1444</v>
      </c>
      <c r="AS226" t="s">
        <v>1445</v>
      </c>
      <c r="AT226" t="s">
        <v>3303</v>
      </c>
      <c r="AU226">
        <v>2002</v>
      </c>
      <c r="AV226">
        <v>15</v>
      </c>
      <c r="AW226">
        <v>8</v>
      </c>
      <c r="AX226" t="s">
        <v>74</v>
      </c>
      <c r="AY226" t="s">
        <v>74</v>
      </c>
      <c r="AZ226" t="s">
        <v>74</v>
      </c>
      <c r="BA226" t="s">
        <v>74</v>
      </c>
      <c r="BB226">
        <v>847</v>
      </c>
      <c r="BC226">
        <v>863</v>
      </c>
      <c r="BD226" t="s">
        <v>74</v>
      </c>
      <c r="BE226" t="s">
        <v>3434</v>
      </c>
      <c r="BF226" t="str">
        <f>HYPERLINK("http://dx.doi.org/10.1175/1520-0442(2002)015&lt;0847:TSHEOE&gt;2.0.CO;2","http://dx.doi.org/10.1175/1520-0442(2002)015&lt;0847:TSHEOE&gt;2.0.CO;2")</f>
        <v>http://dx.doi.org/10.1175/1520-0442(2002)015&lt;0847:TSHEOE&gt;2.0.CO;2</v>
      </c>
      <c r="BG226" t="s">
        <v>74</v>
      </c>
      <c r="BH226" t="s">
        <v>74</v>
      </c>
      <c r="BI226">
        <v>17</v>
      </c>
      <c r="BJ226" t="s">
        <v>403</v>
      </c>
      <c r="BK226" t="s">
        <v>170</v>
      </c>
      <c r="BL226" t="s">
        <v>403</v>
      </c>
      <c r="BM226" t="s">
        <v>3435</v>
      </c>
      <c r="BN226" t="s">
        <v>74</v>
      </c>
      <c r="BO226" t="s">
        <v>461</v>
      </c>
      <c r="BP226" t="s">
        <v>74</v>
      </c>
      <c r="BQ226" t="s">
        <v>74</v>
      </c>
      <c r="BR226" t="s">
        <v>107</v>
      </c>
      <c r="BS226" t="s">
        <v>3436</v>
      </c>
      <c r="BT226" t="str">
        <f>HYPERLINK("https%3A%2F%2Fwww.webofscience.com%2Fwos%2Fwoscc%2Ffull-record%2FWOS:000174442400003","View Full Record in Web of Science")</f>
        <v>View Full Record in Web of Science</v>
      </c>
    </row>
    <row r="227" spans="1:72" x14ac:dyDescent="0.15">
      <c r="A227" t="s">
        <v>72</v>
      </c>
      <c r="B227" t="s">
        <v>3437</v>
      </c>
      <c r="C227" t="s">
        <v>74</v>
      </c>
      <c r="D227" t="s">
        <v>74</v>
      </c>
      <c r="E227" t="s">
        <v>74</v>
      </c>
      <c r="F227" t="s">
        <v>3437</v>
      </c>
      <c r="G227" t="s">
        <v>74</v>
      </c>
      <c r="H227" t="s">
        <v>74</v>
      </c>
      <c r="I227" t="s">
        <v>3438</v>
      </c>
      <c r="J227" t="s">
        <v>1524</v>
      </c>
      <c r="K227" t="s">
        <v>74</v>
      </c>
      <c r="L227" t="s">
        <v>74</v>
      </c>
      <c r="M227" t="s">
        <v>77</v>
      </c>
      <c r="N227" t="s">
        <v>153</v>
      </c>
      <c r="O227" t="s">
        <v>74</v>
      </c>
      <c r="P227" t="s">
        <v>74</v>
      </c>
      <c r="Q227" t="s">
        <v>74</v>
      </c>
      <c r="R227" t="s">
        <v>74</v>
      </c>
      <c r="S227" t="s">
        <v>74</v>
      </c>
      <c r="T227" t="s">
        <v>74</v>
      </c>
      <c r="U227" t="s">
        <v>3439</v>
      </c>
      <c r="V227" t="s">
        <v>3440</v>
      </c>
      <c r="W227" t="s">
        <v>3441</v>
      </c>
      <c r="X227" t="s">
        <v>3442</v>
      </c>
      <c r="Y227" t="s">
        <v>3443</v>
      </c>
      <c r="Z227" t="s">
        <v>3444</v>
      </c>
      <c r="AA227" t="s">
        <v>3445</v>
      </c>
      <c r="AB227" t="s">
        <v>3446</v>
      </c>
      <c r="AC227" t="s">
        <v>74</v>
      </c>
      <c r="AD227" t="s">
        <v>74</v>
      </c>
      <c r="AE227" t="s">
        <v>74</v>
      </c>
      <c r="AF227" t="s">
        <v>74</v>
      </c>
      <c r="AG227">
        <v>67</v>
      </c>
      <c r="AH227">
        <v>35</v>
      </c>
      <c r="AI227">
        <v>35</v>
      </c>
      <c r="AJ227">
        <v>0</v>
      </c>
      <c r="AK227">
        <v>6</v>
      </c>
      <c r="AL227" t="s">
        <v>161</v>
      </c>
      <c r="AM227" t="s">
        <v>162</v>
      </c>
      <c r="AN227" t="s">
        <v>163</v>
      </c>
      <c r="AO227" t="s">
        <v>1533</v>
      </c>
      <c r="AP227" t="s">
        <v>1534</v>
      </c>
      <c r="AQ227" t="s">
        <v>74</v>
      </c>
      <c r="AR227" t="s">
        <v>1535</v>
      </c>
      <c r="AS227" t="s">
        <v>1536</v>
      </c>
      <c r="AT227" t="s">
        <v>3303</v>
      </c>
      <c r="AU227">
        <v>2002</v>
      </c>
      <c r="AV227">
        <v>107</v>
      </c>
      <c r="AW227" t="s">
        <v>3447</v>
      </c>
      <c r="AX227" t="s">
        <v>74</v>
      </c>
      <c r="AY227" t="s">
        <v>74</v>
      </c>
      <c r="AZ227" t="s">
        <v>74</v>
      </c>
      <c r="BA227" t="s">
        <v>74</v>
      </c>
      <c r="BB227" t="s">
        <v>74</v>
      </c>
      <c r="BC227" t="s">
        <v>74</v>
      </c>
      <c r="BD227">
        <v>3030</v>
      </c>
      <c r="BE227" t="s">
        <v>3448</v>
      </c>
      <c r="BF227" t="str">
        <f>HYPERLINK("http://dx.doi.org/10.1029/2000JC000731","http://dx.doi.org/10.1029/2000JC000731")</f>
        <v>http://dx.doi.org/10.1029/2000JC000731</v>
      </c>
      <c r="BG227" t="s">
        <v>74</v>
      </c>
      <c r="BH227" t="s">
        <v>74</v>
      </c>
      <c r="BI227">
        <v>13</v>
      </c>
      <c r="BJ227" t="s">
        <v>1155</v>
      </c>
      <c r="BK227" t="s">
        <v>170</v>
      </c>
      <c r="BL227" t="s">
        <v>1155</v>
      </c>
      <c r="BM227" t="s">
        <v>3449</v>
      </c>
      <c r="BN227" t="s">
        <v>74</v>
      </c>
      <c r="BO227" t="s">
        <v>106</v>
      </c>
      <c r="BP227" t="s">
        <v>74</v>
      </c>
      <c r="BQ227" t="s">
        <v>74</v>
      </c>
      <c r="BR227" t="s">
        <v>107</v>
      </c>
      <c r="BS227" t="s">
        <v>3450</v>
      </c>
      <c r="BT227" t="str">
        <f>HYPERLINK("https%3A%2F%2Fwww.webofscience.com%2Fwos%2Fwoscc%2Ffull-record%2FWOS:000178923600003","View Full Record in Web of Science")</f>
        <v>View Full Record in Web of Science</v>
      </c>
    </row>
    <row r="228" spans="1:72" x14ac:dyDescent="0.15">
      <c r="A228" t="s">
        <v>72</v>
      </c>
      <c r="B228" t="s">
        <v>3451</v>
      </c>
      <c r="C228" t="s">
        <v>74</v>
      </c>
      <c r="D228" t="s">
        <v>74</v>
      </c>
      <c r="E228" t="s">
        <v>74</v>
      </c>
      <c r="F228" t="s">
        <v>3451</v>
      </c>
      <c r="G228" t="s">
        <v>74</v>
      </c>
      <c r="H228" t="s">
        <v>74</v>
      </c>
      <c r="I228" t="s">
        <v>3452</v>
      </c>
      <c r="J228" t="s">
        <v>1524</v>
      </c>
      <c r="K228" t="s">
        <v>74</v>
      </c>
      <c r="L228" t="s">
        <v>74</v>
      </c>
      <c r="M228" t="s">
        <v>77</v>
      </c>
      <c r="N228" t="s">
        <v>153</v>
      </c>
      <c r="O228" t="s">
        <v>74</v>
      </c>
      <c r="P228" t="s">
        <v>74</v>
      </c>
      <c r="Q228" t="s">
        <v>74</v>
      </c>
      <c r="R228" t="s">
        <v>74</v>
      </c>
      <c r="S228" t="s">
        <v>74</v>
      </c>
      <c r="T228" t="s">
        <v>3453</v>
      </c>
      <c r="U228" t="s">
        <v>3454</v>
      </c>
      <c r="V228" t="s">
        <v>3455</v>
      </c>
      <c r="W228" t="s">
        <v>3456</v>
      </c>
      <c r="X228" t="s">
        <v>3457</v>
      </c>
      <c r="Y228" t="s">
        <v>3458</v>
      </c>
      <c r="Z228" t="s">
        <v>3459</v>
      </c>
      <c r="AA228" t="s">
        <v>3460</v>
      </c>
      <c r="AB228" t="s">
        <v>3461</v>
      </c>
      <c r="AC228" t="s">
        <v>74</v>
      </c>
      <c r="AD228" t="s">
        <v>74</v>
      </c>
      <c r="AE228" t="s">
        <v>74</v>
      </c>
      <c r="AF228" t="s">
        <v>74</v>
      </c>
      <c r="AG228">
        <v>75</v>
      </c>
      <c r="AH228">
        <v>81</v>
      </c>
      <c r="AI228">
        <v>97</v>
      </c>
      <c r="AJ228">
        <v>1</v>
      </c>
      <c r="AK228">
        <v>27</v>
      </c>
      <c r="AL228" t="s">
        <v>161</v>
      </c>
      <c r="AM228" t="s">
        <v>162</v>
      </c>
      <c r="AN228" t="s">
        <v>163</v>
      </c>
      <c r="AO228" t="s">
        <v>1533</v>
      </c>
      <c r="AP228" t="s">
        <v>1534</v>
      </c>
      <c r="AQ228" t="s">
        <v>74</v>
      </c>
      <c r="AR228" t="s">
        <v>1535</v>
      </c>
      <c r="AS228" t="s">
        <v>1536</v>
      </c>
      <c r="AT228" t="s">
        <v>3303</v>
      </c>
      <c r="AU228">
        <v>2002</v>
      </c>
      <c r="AV228">
        <v>107</v>
      </c>
      <c r="AW228" t="s">
        <v>3447</v>
      </c>
      <c r="AX228" t="s">
        <v>74</v>
      </c>
      <c r="AY228" t="s">
        <v>74</v>
      </c>
      <c r="AZ228" t="s">
        <v>74</v>
      </c>
      <c r="BA228" t="s">
        <v>74</v>
      </c>
      <c r="BB228" t="s">
        <v>74</v>
      </c>
      <c r="BC228" t="s">
        <v>74</v>
      </c>
      <c r="BD228">
        <v>3032</v>
      </c>
      <c r="BE228" t="s">
        <v>3462</v>
      </c>
      <c r="BF228" t="str">
        <f>HYPERLINK("http://dx.doi.org/10.1029/2001JC000892","http://dx.doi.org/10.1029/2001JC000892")</f>
        <v>http://dx.doi.org/10.1029/2001JC000892</v>
      </c>
      <c r="BG228" t="s">
        <v>74</v>
      </c>
      <c r="BH228" t="s">
        <v>74</v>
      </c>
      <c r="BI228">
        <v>16</v>
      </c>
      <c r="BJ228" t="s">
        <v>1155</v>
      </c>
      <c r="BK228" t="s">
        <v>170</v>
      </c>
      <c r="BL228" t="s">
        <v>1155</v>
      </c>
      <c r="BM228" t="s">
        <v>3449</v>
      </c>
      <c r="BN228" t="s">
        <v>74</v>
      </c>
      <c r="BO228" t="s">
        <v>2089</v>
      </c>
      <c r="BP228" t="s">
        <v>74</v>
      </c>
      <c r="BQ228" t="s">
        <v>74</v>
      </c>
      <c r="BR228" t="s">
        <v>107</v>
      </c>
      <c r="BS228" t="s">
        <v>3463</v>
      </c>
      <c r="BT228" t="str">
        <f>HYPERLINK("https%3A%2F%2Fwww.webofscience.com%2Fwos%2Fwoscc%2Ffull-record%2FWOS:000178923600001","View Full Record in Web of Science")</f>
        <v>View Full Record in Web of Science</v>
      </c>
    </row>
    <row r="229" spans="1:72" x14ac:dyDescent="0.15">
      <c r="A229" t="s">
        <v>72</v>
      </c>
      <c r="B229" t="s">
        <v>3464</v>
      </c>
      <c r="C229" t="s">
        <v>74</v>
      </c>
      <c r="D229" t="s">
        <v>74</v>
      </c>
      <c r="E229" t="s">
        <v>74</v>
      </c>
      <c r="F229" t="s">
        <v>3464</v>
      </c>
      <c r="G229" t="s">
        <v>74</v>
      </c>
      <c r="H229" t="s">
        <v>74</v>
      </c>
      <c r="I229" t="s">
        <v>3465</v>
      </c>
      <c r="J229" t="s">
        <v>1524</v>
      </c>
      <c r="K229" t="s">
        <v>74</v>
      </c>
      <c r="L229" t="s">
        <v>74</v>
      </c>
      <c r="M229" t="s">
        <v>77</v>
      </c>
      <c r="N229" t="s">
        <v>153</v>
      </c>
      <c r="O229" t="s">
        <v>74</v>
      </c>
      <c r="P229" t="s">
        <v>74</v>
      </c>
      <c r="Q229" t="s">
        <v>74</v>
      </c>
      <c r="R229" t="s">
        <v>74</v>
      </c>
      <c r="S229" t="s">
        <v>74</v>
      </c>
      <c r="T229" t="s">
        <v>3466</v>
      </c>
      <c r="U229" t="s">
        <v>3467</v>
      </c>
      <c r="V229" t="s">
        <v>3468</v>
      </c>
      <c r="W229" t="s">
        <v>3469</v>
      </c>
      <c r="X229" t="s">
        <v>3470</v>
      </c>
      <c r="Y229" t="s">
        <v>3471</v>
      </c>
      <c r="Z229" t="s">
        <v>3472</v>
      </c>
      <c r="AA229" t="s">
        <v>74</v>
      </c>
      <c r="AB229" t="s">
        <v>74</v>
      </c>
      <c r="AC229" t="s">
        <v>74</v>
      </c>
      <c r="AD229" t="s">
        <v>74</v>
      </c>
      <c r="AE229" t="s">
        <v>74</v>
      </c>
      <c r="AF229" t="s">
        <v>74</v>
      </c>
      <c r="AG229">
        <v>58</v>
      </c>
      <c r="AH229">
        <v>23</v>
      </c>
      <c r="AI229">
        <v>24</v>
      </c>
      <c r="AJ229">
        <v>0</v>
      </c>
      <c r="AK229">
        <v>9</v>
      </c>
      <c r="AL229" t="s">
        <v>161</v>
      </c>
      <c r="AM229" t="s">
        <v>162</v>
      </c>
      <c r="AN229" t="s">
        <v>163</v>
      </c>
      <c r="AO229" t="s">
        <v>1533</v>
      </c>
      <c r="AP229" t="s">
        <v>1534</v>
      </c>
      <c r="AQ229" t="s">
        <v>74</v>
      </c>
      <c r="AR229" t="s">
        <v>1535</v>
      </c>
      <c r="AS229" t="s">
        <v>1536</v>
      </c>
      <c r="AT229" t="s">
        <v>3303</v>
      </c>
      <c r="AU229">
        <v>2002</v>
      </c>
      <c r="AV229">
        <v>107</v>
      </c>
      <c r="AW229" t="s">
        <v>3447</v>
      </c>
      <c r="AX229" t="s">
        <v>74</v>
      </c>
      <c r="AY229" t="s">
        <v>74</v>
      </c>
      <c r="AZ229" t="s">
        <v>74</v>
      </c>
      <c r="BA229" t="s">
        <v>74</v>
      </c>
      <c r="BB229" t="s">
        <v>74</v>
      </c>
      <c r="BC229" t="s">
        <v>74</v>
      </c>
      <c r="BD229">
        <v>3031</v>
      </c>
      <c r="BE229" t="s">
        <v>3473</v>
      </c>
      <c r="BF229" t="str">
        <f>HYPERLINK("http://dx.doi.org/10.1029/2001JC000880","http://dx.doi.org/10.1029/2001JC000880")</f>
        <v>http://dx.doi.org/10.1029/2001JC000880</v>
      </c>
      <c r="BG229" t="s">
        <v>74</v>
      </c>
      <c r="BH229" t="s">
        <v>74</v>
      </c>
      <c r="BI229">
        <v>20</v>
      </c>
      <c r="BJ229" t="s">
        <v>1155</v>
      </c>
      <c r="BK229" t="s">
        <v>170</v>
      </c>
      <c r="BL229" t="s">
        <v>1155</v>
      </c>
      <c r="BM229" t="s">
        <v>3449</v>
      </c>
      <c r="BN229" t="s">
        <v>74</v>
      </c>
      <c r="BO229" t="s">
        <v>173</v>
      </c>
      <c r="BP229" t="s">
        <v>74</v>
      </c>
      <c r="BQ229" t="s">
        <v>74</v>
      </c>
      <c r="BR229" t="s">
        <v>107</v>
      </c>
      <c r="BS229" t="s">
        <v>3474</v>
      </c>
      <c r="BT229" t="str">
        <f>HYPERLINK("https%3A%2F%2Fwww.webofscience.com%2Fwos%2Fwoscc%2Ffull-record%2FWOS:000178923600002","View Full Record in Web of Science")</f>
        <v>View Full Record in Web of Science</v>
      </c>
    </row>
    <row r="230" spans="1:72" x14ac:dyDescent="0.15">
      <c r="A230" t="s">
        <v>72</v>
      </c>
      <c r="B230" t="s">
        <v>3475</v>
      </c>
      <c r="C230" t="s">
        <v>74</v>
      </c>
      <c r="D230" t="s">
        <v>74</v>
      </c>
      <c r="E230" t="s">
        <v>74</v>
      </c>
      <c r="F230" t="s">
        <v>3475</v>
      </c>
      <c r="G230" t="s">
        <v>74</v>
      </c>
      <c r="H230" t="s">
        <v>74</v>
      </c>
      <c r="I230" t="s">
        <v>3476</v>
      </c>
      <c r="J230" t="s">
        <v>3477</v>
      </c>
      <c r="K230" t="s">
        <v>74</v>
      </c>
      <c r="L230" t="s">
        <v>74</v>
      </c>
      <c r="M230" t="s">
        <v>77</v>
      </c>
      <c r="N230" t="s">
        <v>153</v>
      </c>
      <c r="O230" t="s">
        <v>74</v>
      </c>
      <c r="P230" t="s">
        <v>74</v>
      </c>
      <c r="Q230" t="s">
        <v>74</v>
      </c>
      <c r="R230" t="s">
        <v>74</v>
      </c>
      <c r="S230" t="s">
        <v>74</v>
      </c>
      <c r="T230" t="s">
        <v>3478</v>
      </c>
      <c r="U230" t="s">
        <v>3479</v>
      </c>
      <c r="V230" t="s">
        <v>3480</v>
      </c>
      <c r="W230" t="s">
        <v>3481</v>
      </c>
      <c r="X230" t="s">
        <v>3482</v>
      </c>
      <c r="Y230" t="s">
        <v>3483</v>
      </c>
      <c r="Z230" t="s">
        <v>3484</v>
      </c>
      <c r="AA230" t="s">
        <v>74</v>
      </c>
      <c r="AB230" t="s">
        <v>3485</v>
      </c>
      <c r="AC230" t="s">
        <v>74</v>
      </c>
      <c r="AD230" t="s">
        <v>74</v>
      </c>
      <c r="AE230" t="s">
        <v>74</v>
      </c>
      <c r="AF230" t="s">
        <v>74</v>
      </c>
      <c r="AG230">
        <v>61</v>
      </c>
      <c r="AH230">
        <v>64</v>
      </c>
      <c r="AI230">
        <v>87</v>
      </c>
      <c r="AJ230">
        <v>1</v>
      </c>
      <c r="AK230">
        <v>22</v>
      </c>
      <c r="AL230" t="s">
        <v>132</v>
      </c>
      <c r="AM230" t="s">
        <v>91</v>
      </c>
      <c r="AN230" t="s">
        <v>133</v>
      </c>
      <c r="AO230" t="s">
        <v>3486</v>
      </c>
      <c r="AP230" t="s">
        <v>3487</v>
      </c>
      <c r="AQ230" t="s">
        <v>74</v>
      </c>
      <c r="AR230" t="s">
        <v>3488</v>
      </c>
      <c r="AS230" t="s">
        <v>3489</v>
      </c>
      <c r="AT230" t="s">
        <v>3490</v>
      </c>
      <c r="AU230">
        <v>2002</v>
      </c>
      <c r="AV230">
        <v>1561</v>
      </c>
      <c r="AW230">
        <v>2</v>
      </c>
      <c r="AX230" t="s">
        <v>74</v>
      </c>
      <c r="AY230" t="s">
        <v>74</v>
      </c>
      <c r="AZ230" t="s">
        <v>74</v>
      </c>
      <c r="BA230" t="s">
        <v>74</v>
      </c>
      <c r="BB230">
        <v>251</v>
      </c>
      <c r="BC230">
        <v>265</v>
      </c>
      <c r="BD230" t="s">
        <v>3491</v>
      </c>
      <c r="BE230" t="s">
        <v>3492</v>
      </c>
      <c r="BF230" t="str">
        <f>HYPERLINK("http://dx.doi.org/10.1016/S0005-2736(02)00352-8","http://dx.doi.org/10.1016/S0005-2736(02)00352-8")</f>
        <v>http://dx.doi.org/10.1016/S0005-2736(02)00352-8</v>
      </c>
      <c r="BG230" t="s">
        <v>74</v>
      </c>
      <c r="BH230" t="s">
        <v>74</v>
      </c>
      <c r="BI230">
        <v>15</v>
      </c>
      <c r="BJ230" t="s">
        <v>3493</v>
      </c>
      <c r="BK230" t="s">
        <v>170</v>
      </c>
      <c r="BL230" t="s">
        <v>3493</v>
      </c>
      <c r="BM230" t="s">
        <v>3494</v>
      </c>
      <c r="BN230">
        <v>11997125</v>
      </c>
      <c r="BO230" t="s">
        <v>461</v>
      </c>
      <c r="BP230" t="s">
        <v>74</v>
      </c>
      <c r="BQ230" t="s">
        <v>74</v>
      </c>
      <c r="BR230" t="s">
        <v>107</v>
      </c>
      <c r="BS230" t="s">
        <v>3495</v>
      </c>
      <c r="BT230" t="str">
        <f>HYPERLINK("https%3A%2F%2Fwww.webofscience.com%2Fwos%2Fwoscc%2Ffull-record%2FWOS:000175503900013","View Full Record in Web of Science")</f>
        <v>View Full Record in Web of Science</v>
      </c>
    </row>
    <row r="231" spans="1:72" x14ac:dyDescent="0.15">
      <c r="A231" t="s">
        <v>72</v>
      </c>
      <c r="B231" t="s">
        <v>3496</v>
      </c>
      <c r="C231" t="s">
        <v>74</v>
      </c>
      <c r="D231" t="s">
        <v>74</v>
      </c>
      <c r="E231" t="s">
        <v>74</v>
      </c>
      <c r="F231" t="s">
        <v>3496</v>
      </c>
      <c r="G231" t="s">
        <v>74</v>
      </c>
      <c r="H231" t="s">
        <v>74</v>
      </c>
      <c r="I231" t="s">
        <v>3497</v>
      </c>
      <c r="J231" t="s">
        <v>646</v>
      </c>
      <c r="K231" t="s">
        <v>74</v>
      </c>
      <c r="L231" t="s">
        <v>74</v>
      </c>
      <c r="M231" t="s">
        <v>77</v>
      </c>
      <c r="N231" t="s">
        <v>153</v>
      </c>
      <c r="O231" t="s">
        <v>74</v>
      </c>
      <c r="P231" t="s">
        <v>74</v>
      </c>
      <c r="Q231" t="s">
        <v>74</v>
      </c>
      <c r="R231" t="s">
        <v>74</v>
      </c>
      <c r="S231" t="s">
        <v>74</v>
      </c>
      <c r="T231" t="s">
        <v>74</v>
      </c>
      <c r="U231" t="s">
        <v>3498</v>
      </c>
      <c r="V231" t="s">
        <v>3499</v>
      </c>
      <c r="W231" t="s">
        <v>3500</v>
      </c>
      <c r="X231" t="s">
        <v>3501</v>
      </c>
      <c r="Y231" t="s">
        <v>3502</v>
      </c>
      <c r="Z231" t="s">
        <v>74</v>
      </c>
      <c r="AA231" t="s">
        <v>74</v>
      </c>
      <c r="AB231" t="s">
        <v>74</v>
      </c>
      <c r="AC231" t="s">
        <v>74</v>
      </c>
      <c r="AD231" t="s">
        <v>74</v>
      </c>
      <c r="AE231" t="s">
        <v>74</v>
      </c>
      <c r="AF231" t="s">
        <v>74</v>
      </c>
      <c r="AG231">
        <v>29</v>
      </c>
      <c r="AH231">
        <v>125</v>
      </c>
      <c r="AI231">
        <v>131</v>
      </c>
      <c r="AJ231">
        <v>0</v>
      </c>
      <c r="AK231">
        <v>19</v>
      </c>
      <c r="AL231" t="s">
        <v>655</v>
      </c>
      <c r="AM231" t="s">
        <v>162</v>
      </c>
      <c r="AN231" t="s">
        <v>656</v>
      </c>
      <c r="AO231" t="s">
        <v>657</v>
      </c>
      <c r="AP231" t="s">
        <v>74</v>
      </c>
      <c r="AQ231" t="s">
        <v>74</v>
      </c>
      <c r="AR231" t="s">
        <v>646</v>
      </c>
      <c r="AS231" t="s">
        <v>659</v>
      </c>
      <c r="AT231" t="s">
        <v>3490</v>
      </c>
      <c r="AU231">
        <v>2002</v>
      </c>
      <c r="AV231">
        <v>296</v>
      </c>
      <c r="AW231">
        <v>5566</v>
      </c>
      <c r="AX231" t="s">
        <v>74</v>
      </c>
      <c r="AY231" t="s">
        <v>74</v>
      </c>
      <c r="AZ231" t="s">
        <v>74</v>
      </c>
      <c r="BA231" t="s">
        <v>74</v>
      </c>
      <c r="BB231">
        <v>334</v>
      </c>
      <c r="BC231">
        <v>336</v>
      </c>
      <c r="BD231" t="s">
        <v>74</v>
      </c>
      <c r="BE231" t="s">
        <v>3503</v>
      </c>
      <c r="BF231" t="str">
        <f>HYPERLINK("http://dx.doi.org/10.1126/science.1069408","http://dx.doi.org/10.1126/science.1069408")</f>
        <v>http://dx.doi.org/10.1126/science.1069408</v>
      </c>
      <c r="BG231" t="s">
        <v>74</v>
      </c>
      <c r="BH231" t="s">
        <v>74</v>
      </c>
      <c r="BI231">
        <v>3</v>
      </c>
      <c r="BJ231" t="s">
        <v>662</v>
      </c>
      <c r="BK231" t="s">
        <v>170</v>
      </c>
      <c r="BL231" t="s">
        <v>663</v>
      </c>
      <c r="BM231" t="s">
        <v>3504</v>
      </c>
      <c r="BN231">
        <v>11951042</v>
      </c>
      <c r="BO231" t="s">
        <v>74</v>
      </c>
      <c r="BP231" t="s">
        <v>74</v>
      </c>
      <c r="BQ231" t="s">
        <v>74</v>
      </c>
      <c r="BR231" t="s">
        <v>107</v>
      </c>
      <c r="BS231" t="s">
        <v>3505</v>
      </c>
      <c r="BT231" t="str">
        <f>HYPERLINK("https%3A%2F%2Fwww.webofscience.com%2Fwos%2Fwoscc%2Ffull-record%2FWOS:000175000300054","View Full Record in Web of Science")</f>
        <v>View Full Record in Web of Science</v>
      </c>
    </row>
    <row r="232" spans="1:72" x14ac:dyDescent="0.15">
      <c r="A232" t="s">
        <v>72</v>
      </c>
      <c r="B232" t="s">
        <v>3506</v>
      </c>
      <c r="C232" t="s">
        <v>74</v>
      </c>
      <c r="D232" t="s">
        <v>74</v>
      </c>
      <c r="E232" t="s">
        <v>74</v>
      </c>
      <c r="F232" t="s">
        <v>3506</v>
      </c>
      <c r="G232" t="s">
        <v>74</v>
      </c>
      <c r="H232" t="s">
        <v>74</v>
      </c>
      <c r="I232" t="s">
        <v>3507</v>
      </c>
      <c r="J232" t="s">
        <v>1544</v>
      </c>
      <c r="K232" t="s">
        <v>74</v>
      </c>
      <c r="L232" t="s">
        <v>74</v>
      </c>
      <c r="M232" t="s">
        <v>77</v>
      </c>
      <c r="N232" t="s">
        <v>153</v>
      </c>
      <c r="O232" t="s">
        <v>74</v>
      </c>
      <c r="P232" t="s">
        <v>74</v>
      </c>
      <c r="Q232" t="s">
        <v>74</v>
      </c>
      <c r="R232" t="s">
        <v>74</v>
      </c>
      <c r="S232" t="s">
        <v>74</v>
      </c>
      <c r="T232" t="s">
        <v>74</v>
      </c>
      <c r="U232" t="s">
        <v>3508</v>
      </c>
      <c r="V232" t="s">
        <v>3509</v>
      </c>
      <c r="W232" t="s">
        <v>3510</v>
      </c>
      <c r="X232" t="s">
        <v>3511</v>
      </c>
      <c r="Y232" t="s">
        <v>1690</v>
      </c>
      <c r="Z232" t="s">
        <v>3512</v>
      </c>
      <c r="AA232" t="s">
        <v>3513</v>
      </c>
      <c r="AB232" t="s">
        <v>3514</v>
      </c>
      <c r="AC232" t="s">
        <v>74</v>
      </c>
      <c r="AD232" t="s">
        <v>74</v>
      </c>
      <c r="AE232" t="s">
        <v>74</v>
      </c>
      <c r="AF232" t="s">
        <v>74</v>
      </c>
      <c r="AG232">
        <v>44</v>
      </c>
      <c r="AH232">
        <v>25</v>
      </c>
      <c r="AI232">
        <v>25</v>
      </c>
      <c r="AJ232">
        <v>0</v>
      </c>
      <c r="AK232">
        <v>7</v>
      </c>
      <c r="AL232" t="s">
        <v>161</v>
      </c>
      <c r="AM232" t="s">
        <v>162</v>
      </c>
      <c r="AN232" t="s">
        <v>163</v>
      </c>
      <c r="AO232" t="s">
        <v>1554</v>
      </c>
      <c r="AP232" t="s">
        <v>1555</v>
      </c>
      <c r="AQ232" t="s">
        <v>74</v>
      </c>
      <c r="AR232" t="s">
        <v>1556</v>
      </c>
      <c r="AS232" t="s">
        <v>1557</v>
      </c>
      <c r="AT232" t="s">
        <v>3515</v>
      </c>
      <c r="AU232">
        <v>2002</v>
      </c>
      <c r="AV232">
        <v>107</v>
      </c>
      <c r="AW232" t="s">
        <v>3516</v>
      </c>
      <c r="AX232" t="s">
        <v>74</v>
      </c>
      <c r="AY232" t="s">
        <v>74</v>
      </c>
      <c r="AZ232" t="s">
        <v>74</v>
      </c>
      <c r="BA232" t="s">
        <v>74</v>
      </c>
      <c r="BB232" t="s">
        <v>74</v>
      </c>
      <c r="BC232" t="s">
        <v>74</v>
      </c>
      <c r="BD232">
        <v>2076</v>
      </c>
      <c r="BE232" t="s">
        <v>3517</v>
      </c>
      <c r="BF232" t="str">
        <f>HYPERLINK("http://dx.doi.org/10.1029/2000JB000129","http://dx.doi.org/10.1029/2000JB000129")</f>
        <v>http://dx.doi.org/10.1029/2000JB000129</v>
      </c>
      <c r="BG232" t="s">
        <v>74</v>
      </c>
      <c r="BH232" t="s">
        <v>74</v>
      </c>
      <c r="BI232">
        <v>16</v>
      </c>
      <c r="BJ232" t="s">
        <v>556</v>
      </c>
      <c r="BK232" t="s">
        <v>170</v>
      </c>
      <c r="BL232" t="s">
        <v>556</v>
      </c>
      <c r="BM232" t="s">
        <v>3518</v>
      </c>
      <c r="BN232" t="s">
        <v>74</v>
      </c>
      <c r="BO232" t="s">
        <v>173</v>
      </c>
      <c r="BP232" t="s">
        <v>74</v>
      </c>
      <c r="BQ232" t="s">
        <v>74</v>
      </c>
      <c r="BR232" t="s">
        <v>107</v>
      </c>
      <c r="BS232" t="s">
        <v>3519</v>
      </c>
      <c r="BT232" t="str">
        <f>HYPERLINK("https%3A%2F%2Fwww.webofscience.com%2Fwos%2Fwoscc%2Ffull-record%2FWOS:000178917000009","View Full Record in Web of Science")</f>
        <v>View Full Record in Web of Science</v>
      </c>
    </row>
    <row r="233" spans="1:72" x14ac:dyDescent="0.15">
      <c r="A233" t="s">
        <v>72</v>
      </c>
      <c r="B233" t="s">
        <v>3520</v>
      </c>
      <c r="C233" t="s">
        <v>74</v>
      </c>
      <c r="D233" t="s">
        <v>74</v>
      </c>
      <c r="E233" t="s">
        <v>74</v>
      </c>
      <c r="F233" t="s">
        <v>3520</v>
      </c>
      <c r="G233" t="s">
        <v>74</v>
      </c>
      <c r="H233" t="s">
        <v>74</v>
      </c>
      <c r="I233" t="s">
        <v>3521</v>
      </c>
      <c r="J233" t="s">
        <v>3522</v>
      </c>
      <c r="K233" t="s">
        <v>74</v>
      </c>
      <c r="L233" t="s">
        <v>74</v>
      </c>
      <c r="M233" t="s">
        <v>77</v>
      </c>
      <c r="N233" t="s">
        <v>78</v>
      </c>
      <c r="O233" t="s">
        <v>3523</v>
      </c>
      <c r="P233" t="s">
        <v>3524</v>
      </c>
      <c r="Q233" t="s">
        <v>3525</v>
      </c>
      <c r="R233" t="s">
        <v>74</v>
      </c>
      <c r="S233" t="s">
        <v>74</v>
      </c>
      <c r="T233" t="s">
        <v>3526</v>
      </c>
      <c r="U233" t="s">
        <v>3527</v>
      </c>
      <c r="V233" t="s">
        <v>3528</v>
      </c>
      <c r="W233" t="s">
        <v>3529</v>
      </c>
      <c r="X233" t="s">
        <v>3530</v>
      </c>
      <c r="Y233" t="s">
        <v>3531</v>
      </c>
      <c r="Z233" t="s">
        <v>74</v>
      </c>
      <c r="AA233" t="s">
        <v>3532</v>
      </c>
      <c r="AB233" t="s">
        <v>3533</v>
      </c>
      <c r="AC233" t="s">
        <v>74</v>
      </c>
      <c r="AD233" t="s">
        <v>74</v>
      </c>
      <c r="AE233" t="s">
        <v>74</v>
      </c>
      <c r="AF233" t="s">
        <v>74</v>
      </c>
      <c r="AG233">
        <v>11</v>
      </c>
      <c r="AH233">
        <v>4</v>
      </c>
      <c r="AI233">
        <v>4</v>
      </c>
      <c r="AJ233">
        <v>0</v>
      </c>
      <c r="AK233">
        <v>2</v>
      </c>
      <c r="AL233" t="s">
        <v>132</v>
      </c>
      <c r="AM233" t="s">
        <v>91</v>
      </c>
      <c r="AN233" t="s">
        <v>133</v>
      </c>
      <c r="AO233" t="s">
        <v>3534</v>
      </c>
      <c r="AP233" t="s">
        <v>74</v>
      </c>
      <c r="AQ233" t="s">
        <v>74</v>
      </c>
      <c r="AR233" t="s">
        <v>3535</v>
      </c>
      <c r="AS233" t="s">
        <v>3536</v>
      </c>
      <c r="AT233" t="s">
        <v>3515</v>
      </c>
      <c r="AU233">
        <v>2002</v>
      </c>
      <c r="AV233">
        <v>502</v>
      </c>
      <c r="AW233" t="s">
        <v>74</v>
      </c>
      <c r="AX233" t="s">
        <v>74</v>
      </c>
      <c r="AY233" t="s">
        <v>74</v>
      </c>
      <c r="AZ233" t="s">
        <v>74</v>
      </c>
      <c r="BA233" t="s">
        <v>74</v>
      </c>
      <c r="BB233">
        <v>285</v>
      </c>
      <c r="BC233">
        <v>289</v>
      </c>
      <c r="BD233" t="s">
        <v>3537</v>
      </c>
      <c r="BE233" t="s">
        <v>3538</v>
      </c>
      <c r="BF233" t="str">
        <f>HYPERLINK("http://dx.doi.org/10.1016/S0039-6028(01)01965-3","http://dx.doi.org/10.1016/S0039-6028(01)01965-3")</f>
        <v>http://dx.doi.org/10.1016/S0039-6028(01)01965-3</v>
      </c>
      <c r="BG233" t="s">
        <v>74</v>
      </c>
      <c r="BH233" t="s">
        <v>74</v>
      </c>
      <c r="BI233">
        <v>5</v>
      </c>
      <c r="BJ233" t="s">
        <v>3539</v>
      </c>
      <c r="BK233" t="s">
        <v>744</v>
      </c>
      <c r="BL233" t="s">
        <v>589</v>
      </c>
      <c r="BM233" t="s">
        <v>3540</v>
      </c>
      <c r="BN233" t="s">
        <v>74</v>
      </c>
      <c r="BO233" t="s">
        <v>74</v>
      </c>
      <c r="BP233" t="s">
        <v>74</v>
      </c>
      <c r="BQ233" t="s">
        <v>74</v>
      </c>
      <c r="BR233" t="s">
        <v>107</v>
      </c>
      <c r="BS233" t="s">
        <v>3541</v>
      </c>
      <c r="BT233" t="str">
        <f>HYPERLINK("https%3A%2F%2Fwww.webofscience.com%2Fwos%2Fwoscc%2Ffull-record%2FWOS:000175383700044","View Full Record in Web of Science")</f>
        <v>View Full Record in Web of Science</v>
      </c>
    </row>
    <row r="234" spans="1:72" x14ac:dyDescent="0.15">
      <c r="A234" t="s">
        <v>72</v>
      </c>
      <c r="B234" t="s">
        <v>3542</v>
      </c>
      <c r="C234" t="s">
        <v>74</v>
      </c>
      <c r="D234" t="s">
        <v>74</v>
      </c>
      <c r="E234" t="s">
        <v>74</v>
      </c>
      <c r="F234" t="s">
        <v>3542</v>
      </c>
      <c r="G234" t="s">
        <v>74</v>
      </c>
      <c r="H234" t="s">
        <v>74</v>
      </c>
      <c r="I234" t="s">
        <v>3543</v>
      </c>
      <c r="J234" t="s">
        <v>3544</v>
      </c>
      <c r="K234" t="s">
        <v>74</v>
      </c>
      <c r="L234" t="s">
        <v>74</v>
      </c>
      <c r="M234" t="s">
        <v>77</v>
      </c>
      <c r="N234" t="s">
        <v>52</v>
      </c>
      <c r="O234" t="s">
        <v>74</v>
      </c>
      <c r="P234" t="s">
        <v>74</v>
      </c>
      <c r="Q234" t="s">
        <v>74</v>
      </c>
      <c r="R234" t="s">
        <v>74</v>
      </c>
      <c r="S234" t="s">
        <v>74</v>
      </c>
      <c r="T234" t="s">
        <v>74</v>
      </c>
      <c r="U234" t="s">
        <v>74</v>
      </c>
      <c r="V234" t="s">
        <v>74</v>
      </c>
      <c r="W234" t="s">
        <v>3545</v>
      </c>
      <c r="X234" t="s">
        <v>3546</v>
      </c>
      <c r="Y234" t="s">
        <v>74</v>
      </c>
      <c r="Z234" t="s">
        <v>74</v>
      </c>
      <c r="AA234" t="s">
        <v>3547</v>
      </c>
      <c r="AB234" t="s">
        <v>3548</v>
      </c>
      <c r="AC234" t="s">
        <v>74</v>
      </c>
      <c r="AD234" t="s">
        <v>74</v>
      </c>
      <c r="AE234" t="s">
        <v>74</v>
      </c>
      <c r="AF234" t="s">
        <v>74</v>
      </c>
      <c r="AG234">
        <v>0</v>
      </c>
      <c r="AH234">
        <v>0</v>
      </c>
      <c r="AI234">
        <v>0</v>
      </c>
      <c r="AJ234">
        <v>0</v>
      </c>
      <c r="AK234">
        <v>4</v>
      </c>
      <c r="AL234" t="s">
        <v>581</v>
      </c>
      <c r="AM234" t="s">
        <v>162</v>
      </c>
      <c r="AN234" t="s">
        <v>582</v>
      </c>
      <c r="AO234" t="s">
        <v>3549</v>
      </c>
      <c r="AP234" t="s">
        <v>74</v>
      </c>
      <c r="AQ234" t="s">
        <v>74</v>
      </c>
      <c r="AR234" t="s">
        <v>3550</v>
      </c>
      <c r="AS234" t="s">
        <v>3551</v>
      </c>
      <c r="AT234" t="s">
        <v>3552</v>
      </c>
      <c r="AU234">
        <v>2002</v>
      </c>
      <c r="AV234">
        <v>223</v>
      </c>
      <c r="AW234" t="s">
        <v>74</v>
      </c>
      <c r="AX234">
        <v>1</v>
      </c>
      <c r="AY234" t="s">
        <v>74</v>
      </c>
      <c r="AZ234" t="s">
        <v>74</v>
      </c>
      <c r="BA234" t="s">
        <v>3553</v>
      </c>
      <c r="BB234" t="s">
        <v>3554</v>
      </c>
      <c r="BC234" t="s">
        <v>3554</v>
      </c>
      <c r="BD234" t="s">
        <v>74</v>
      </c>
      <c r="BE234" t="s">
        <v>74</v>
      </c>
      <c r="BF234" t="s">
        <v>74</v>
      </c>
      <c r="BG234" t="s">
        <v>74</v>
      </c>
      <c r="BH234" t="s">
        <v>74</v>
      </c>
      <c r="BI234">
        <v>1</v>
      </c>
      <c r="BJ234" t="s">
        <v>3555</v>
      </c>
      <c r="BK234" t="s">
        <v>170</v>
      </c>
      <c r="BL234" t="s">
        <v>2189</v>
      </c>
      <c r="BM234" t="s">
        <v>3556</v>
      </c>
      <c r="BN234" t="s">
        <v>74</v>
      </c>
      <c r="BO234" t="s">
        <v>74</v>
      </c>
      <c r="BP234" t="s">
        <v>74</v>
      </c>
      <c r="BQ234" t="s">
        <v>74</v>
      </c>
      <c r="BR234" t="s">
        <v>107</v>
      </c>
      <c r="BS234" t="s">
        <v>3557</v>
      </c>
      <c r="BT234" t="str">
        <f>HYPERLINK("https%3A%2F%2Fwww.webofscience.com%2Fwos%2Fwoscc%2Ffull-record%2FWOS:000176296703274","View Full Record in Web of Science")</f>
        <v>View Full Record in Web of Science</v>
      </c>
    </row>
    <row r="235" spans="1:72" x14ac:dyDescent="0.15">
      <c r="A235" t="s">
        <v>72</v>
      </c>
      <c r="B235" t="s">
        <v>3558</v>
      </c>
      <c r="C235" t="s">
        <v>74</v>
      </c>
      <c r="D235" t="s">
        <v>74</v>
      </c>
      <c r="E235" t="s">
        <v>74</v>
      </c>
      <c r="F235" t="s">
        <v>3558</v>
      </c>
      <c r="G235" t="s">
        <v>74</v>
      </c>
      <c r="H235" t="s">
        <v>74</v>
      </c>
      <c r="I235" t="s">
        <v>3559</v>
      </c>
      <c r="J235" t="s">
        <v>3560</v>
      </c>
      <c r="K235" t="s">
        <v>74</v>
      </c>
      <c r="L235" t="s">
        <v>74</v>
      </c>
      <c r="M235" t="s">
        <v>77</v>
      </c>
      <c r="N235" t="s">
        <v>153</v>
      </c>
      <c r="O235" t="s">
        <v>74</v>
      </c>
      <c r="P235" t="s">
        <v>74</v>
      </c>
      <c r="Q235" t="s">
        <v>74</v>
      </c>
      <c r="R235" t="s">
        <v>74</v>
      </c>
      <c r="S235" t="s">
        <v>74</v>
      </c>
      <c r="T235" t="s">
        <v>74</v>
      </c>
      <c r="U235" t="s">
        <v>74</v>
      </c>
      <c r="V235" t="s">
        <v>3561</v>
      </c>
      <c r="W235" t="s">
        <v>3562</v>
      </c>
      <c r="X235" t="s">
        <v>3563</v>
      </c>
      <c r="Y235" t="s">
        <v>3564</v>
      </c>
      <c r="Z235" t="s">
        <v>74</v>
      </c>
      <c r="AA235" t="s">
        <v>74</v>
      </c>
      <c r="AB235" t="s">
        <v>74</v>
      </c>
      <c r="AC235" t="s">
        <v>74</v>
      </c>
      <c r="AD235" t="s">
        <v>74</v>
      </c>
      <c r="AE235" t="s">
        <v>74</v>
      </c>
      <c r="AF235" t="s">
        <v>74</v>
      </c>
      <c r="AG235">
        <v>18</v>
      </c>
      <c r="AH235">
        <v>2</v>
      </c>
      <c r="AI235">
        <v>3</v>
      </c>
      <c r="AJ235">
        <v>0</v>
      </c>
      <c r="AK235">
        <v>2</v>
      </c>
      <c r="AL235" t="s">
        <v>3565</v>
      </c>
      <c r="AM235" t="s">
        <v>162</v>
      </c>
      <c r="AN235" t="s">
        <v>3566</v>
      </c>
      <c r="AO235" t="s">
        <v>3567</v>
      </c>
      <c r="AP235" t="s">
        <v>74</v>
      </c>
      <c r="AQ235" t="s">
        <v>74</v>
      </c>
      <c r="AR235" t="s">
        <v>3568</v>
      </c>
      <c r="AS235" t="s">
        <v>3569</v>
      </c>
      <c r="AT235" t="s">
        <v>3570</v>
      </c>
      <c r="AU235">
        <v>2002</v>
      </c>
      <c r="AV235">
        <v>115</v>
      </c>
      <c r="AW235">
        <v>1</v>
      </c>
      <c r="AX235" t="s">
        <v>74</v>
      </c>
      <c r="AY235" t="s">
        <v>74</v>
      </c>
      <c r="AZ235" t="s">
        <v>74</v>
      </c>
      <c r="BA235" t="s">
        <v>74</v>
      </c>
      <c r="BB235">
        <v>51</v>
      </c>
      <c r="BC235">
        <v>56</v>
      </c>
      <c r="BD235" t="s">
        <v>74</v>
      </c>
      <c r="BE235" t="s">
        <v>74</v>
      </c>
      <c r="BF235" t="s">
        <v>74</v>
      </c>
      <c r="BG235" t="s">
        <v>74</v>
      </c>
      <c r="BH235" t="s">
        <v>74</v>
      </c>
      <c r="BI235">
        <v>6</v>
      </c>
      <c r="BJ235" t="s">
        <v>1814</v>
      </c>
      <c r="BK235" t="s">
        <v>170</v>
      </c>
      <c r="BL235" t="s">
        <v>1815</v>
      </c>
      <c r="BM235" t="s">
        <v>3571</v>
      </c>
      <c r="BN235" t="s">
        <v>74</v>
      </c>
      <c r="BO235" t="s">
        <v>74</v>
      </c>
      <c r="BP235" t="s">
        <v>74</v>
      </c>
      <c r="BQ235" t="s">
        <v>74</v>
      </c>
      <c r="BR235" t="s">
        <v>107</v>
      </c>
      <c r="BS235" t="s">
        <v>3572</v>
      </c>
      <c r="BT235" t="str">
        <f>HYPERLINK("https%3A%2F%2Fwww.webofscience.com%2Fwos%2Fwoscc%2Ffull-record%2FWOS:000174990400005","View Full Record in Web of Science")</f>
        <v>View Full Record in Web of Science</v>
      </c>
    </row>
    <row r="236" spans="1:72" x14ac:dyDescent="0.15">
      <c r="A236" t="s">
        <v>72</v>
      </c>
      <c r="B236" t="s">
        <v>3573</v>
      </c>
      <c r="C236" t="s">
        <v>74</v>
      </c>
      <c r="D236" t="s">
        <v>74</v>
      </c>
      <c r="E236" t="s">
        <v>74</v>
      </c>
      <c r="F236" t="s">
        <v>3573</v>
      </c>
      <c r="G236" t="s">
        <v>74</v>
      </c>
      <c r="H236" t="s">
        <v>74</v>
      </c>
      <c r="I236" t="s">
        <v>3574</v>
      </c>
      <c r="J236" t="s">
        <v>3560</v>
      </c>
      <c r="K236" t="s">
        <v>74</v>
      </c>
      <c r="L236" t="s">
        <v>74</v>
      </c>
      <c r="M236" t="s">
        <v>77</v>
      </c>
      <c r="N236" t="s">
        <v>153</v>
      </c>
      <c r="O236" t="s">
        <v>74</v>
      </c>
      <c r="P236" t="s">
        <v>74</v>
      </c>
      <c r="Q236" t="s">
        <v>74</v>
      </c>
      <c r="R236" t="s">
        <v>74</v>
      </c>
      <c r="S236" t="s">
        <v>74</v>
      </c>
      <c r="T236" t="s">
        <v>74</v>
      </c>
      <c r="U236" t="s">
        <v>74</v>
      </c>
      <c r="V236" t="s">
        <v>3575</v>
      </c>
      <c r="W236" t="s">
        <v>3576</v>
      </c>
      <c r="X236" t="s">
        <v>3577</v>
      </c>
      <c r="Y236" t="s">
        <v>3578</v>
      </c>
      <c r="Z236" t="s">
        <v>74</v>
      </c>
      <c r="AA236" t="s">
        <v>74</v>
      </c>
      <c r="AB236" t="s">
        <v>74</v>
      </c>
      <c r="AC236" t="s">
        <v>74</v>
      </c>
      <c r="AD236" t="s">
        <v>74</v>
      </c>
      <c r="AE236" t="s">
        <v>74</v>
      </c>
      <c r="AF236" t="s">
        <v>74</v>
      </c>
      <c r="AG236">
        <v>9</v>
      </c>
      <c r="AH236">
        <v>8</v>
      </c>
      <c r="AI236">
        <v>10</v>
      </c>
      <c r="AJ236">
        <v>0</v>
      </c>
      <c r="AK236">
        <v>1</v>
      </c>
      <c r="AL236" t="s">
        <v>3579</v>
      </c>
      <c r="AM236" t="s">
        <v>3580</v>
      </c>
      <c r="AN236" t="s">
        <v>3581</v>
      </c>
      <c r="AO236" t="s">
        <v>3567</v>
      </c>
      <c r="AP236" t="s">
        <v>3582</v>
      </c>
      <c r="AQ236" t="s">
        <v>74</v>
      </c>
      <c r="AR236" t="s">
        <v>3568</v>
      </c>
      <c r="AS236" t="s">
        <v>3569</v>
      </c>
      <c r="AT236" t="s">
        <v>3570</v>
      </c>
      <c r="AU236">
        <v>2002</v>
      </c>
      <c r="AV236">
        <v>115</v>
      </c>
      <c r="AW236">
        <v>1</v>
      </c>
      <c r="AX236" t="s">
        <v>74</v>
      </c>
      <c r="AY236" t="s">
        <v>74</v>
      </c>
      <c r="AZ236" t="s">
        <v>74</v>
      </c>
      <c r="BA236" t="s">
        <v>74</v>
      </c>
      <c r="BB236">
        <v>217</v>
      </c>
      <c r="BC236">
        <v>222</v>
      </c>
      <c r="BD236" t="s">
        <v>74</v>
      </c>
      <c r="BE236" t="s">
        <v>74</v>
      </c>
      <c r="BF236" t="s">
        <v>74</v>
      </c>
      <c r="BG236" t="s">
        <v>74</v>
      </c>
      <c r="BH236" t="s">
        <v>74</v>
      </c>
      <c r="BI236">
        <v>6</v>
      </c>
      <c r="BJ236" t="s">
        <v>1814</v>
      </c>
      <c r="BK236" t="s">
        <v>170</v>
      </c>
      <c r="BL236" t="s">
        <v>1815</v>
      </c>
      <c r="BM236" t="s">
        <v>3571</v>
      </c>
      <c r="BN236" t="s">
        <v>74</v>
      </c>
      <c r="BO236" t="s">
        <v>74</v>
      </c>
      <c r="BP236" t="s">
        <v>74</v>
      </c>
      <c r="BQ236" t="s">
        <v>74</v>
      </c>
      <c r="BR236" t="s">
        <v>107</v>
      </c>
      <c r="BS236" t="s">
        <v>3583</v>
      </c>
      <c r="BT236" t="str">
        <f>HYPERLINK("https%3A%2F%2Fwww.webofscience.com%2Fwos%2Fwoscc%2Ffull-record%2FWOS:000174990400017","View Full Record in Web of Science")</f>
        <v>View Full Record in Web of Science</v>
      </c>
    </row>
    <row r="237" spans="1:72" x14ac:dyDescent="0.15">
      <c r="A237" t="s">
        <v>72</v>
      </c>
      <c r="B237" t="s">
        <v>3584</v>
      </c>
      <c r="C237" t="s">
        <v>74</v>
      </c>
      <c r="D237" t="s">
        <v>74</v>
      </c>
      <c r="E237" t="s">
        <v>74</v>
      </c>
      <c r="F237" t="s">
        <v>3584</v>
      </c>
      <c r="G237" t="s">
        <v>74</v>
      </c>
      <c r="H237" t="s">
        <v>74</v>
      </c>
      <c r="I237" t="s">
        <v>3585</v>
      </c>
      <c r="J237" t="s">
        <v>3586</v>
      </c>
      <c r="K237" t="s">
        <v>74</v>
      </c>
      <c r="L237" t="s">
        <v>74</v>
      </c>
      <c r="M237" t="s">
        <v>77</v>
      </c>
      <c r="N237" t="s">
        <v>153</v>
      </c>
      <c r="O237" t="s">
        <v>74</v>
      </c>
      <c r="P237" t="s">
        <v>74</v>
      </c>
      <c r="Q237" t="s">
        <v>74</v>
      </c>
      <c r="R237" t="s">
        <v>74</v>
      </c>
      <c r="S237" t="s">
        <v>74</v>
      </c>
      <c r="T237" t="s">
        <v>3587</v>
      </c>
      <c r="U237" t="s">
        <v>3588</v>
      </c>
      <c r="V237" t="s">
        <v>3589</v>
      </c>
      <c r="W237" t="s">
        <v>767</v>
      </c>
      <c r="X237" t="s">
        <v>768</v>
      </c>
      <c r="Y237" t="s">
        <v>777</v>
      </c>
      <c r="Z237" t="s">
        <v>74</v>
      </c>
      <c r="AA237" t="s">
        <v>3590</v>
      </c>
      <c r="AB237" t="s">
        <v>3591</v>
      </c>
      <c r="AC237" t="s">
        <v>74</v>
      </c>
      <c r="AD237" t="s">
        <v>74</v>
      </c>
      <c r="AE237" t="s">
        <v>74</v>
      </c>
      <c r="AF237" t="s">
        <v>74</v>
      </c>
      <c r="AG237">
        <v>43</v>
      </c>
      <c r="AH237">
        <v>27</v>
      </c>
      <c r="AI237">
        <v>29</v>
      </c>
      <c r="AJ237">
        <v>0</v>
      </c>
      <c r="AK237">
        <v>3</v>
      </c>
      <c r="AL237" t="s">
        <v>3592</v>
      </c>
      <c r="AM237" t="s">
        <v>3593</v>
      </c>
      <c r="AN237" t="s">
        <v>3594</v>
      </c>
      <c r="AO237" t="s">
        <v>3595</v>
      </c>
      <c r="AP237" t="s">
        <v>74</v>
      </c>
      <c r="AQ237" t="s">
        <v>74</v>
      </c>
      <c r="AR237" t="s">
        <v>3596</v>
      </c>
      <c r="AS237" t="s">
        <v>3597</v>
      </c>
      <c r="AT237" t="s">
        <v>3598</v>
      </c>
      <c r="AU237">
        <v>2002</v>
      </c>
      <c r="AV237">
        <v>37</v>
      </c>
      <c r="AW237">
        <v>1</v>
      </c>
      <c r="AX237" t="s">
        <v>74</v>
      </c>
      <c r="AY237" t="s">
        <v>74</v>
      </c>
      <c r="AZ237" t="s">
        <v>74</v>
      </c>
      <c r="BA237" t="s">
        <v>74</v>
      </c>
      <c r="BB237">
        <v>13</v>
      </c>
      <c r="BC237">
        <v>19</v>
      </c>
      <c r="BD237" t="s">
        <v>74</v>
      </c>
      <c r="BE237" t="s">
        <v>74</v>
      </c>
      <c r="BF237" t="s">
        <v>74</v>
      </c>
      <c r="BG237" t="s">
        <v>74</v>
      </c>
      <c r="BH237" t="s">
        <v>74</v>
      </c>
      <c r="BI237">
        <v>7</v>
      </c>
      <c r="BJ237" t="s">
        <v>1001</v>
      </c>
      <c r="BK237" t="s">
        <v>170</v>
      </c>
      <c r="BL237" t="s">
        <v>1001</v>
      </c>
      <c r="BM237" t="s">
        <v>3599</v>
      </c>
      <c r="BN237" t="s">
        <v>74</v>
      </c>
      <c r="BO237" t="s">
        <v>74</v>
      </c>
      <c r="BP237" t="s">
        <v>74</v>
      </c>
      <c r="BQ237" t="s">
        <v>74</v>
      </c>
      <c r="BR237" t="s">
        <v>107</v>
      </c>
      <c r="BS237" t="s">
        <v>3600</v>
      </c>
      <c r="BT237" t="str">
        <f>HYPERLINK("https%3A%2F%2Fwww.webofscience.com%2Fwos%2Fwoscc%2Ffull-record%2FWOS:000176808100003","View Full Record in Web of Science")</f>
        <v>View Full Record in Web of Science</v>
      </c>
    </row>
    <row r="238" spans="1:72" x14ac:dyDescent="0.15">
      <c r="A238" t="s">
        <v>72</v>
      </c>
      <c r="B238" t="s">
        <v>3601</v>
      </c>
      <c r="C238" t="s">
        <v>74</v>
      </c>
      <c r="D238" t="s">
        <v>74</v>
      </c>
      <c r="E238" t="s">
        <v>74</v>
      </c>
      <c r="F238" t="s">
        <v>3601</v>
      </c>
      <c r="G238" t="s">
        <v>74</v>
      </c>
      <c r="H238" t="s">
        <v>74</v>
      </c>
      <c r="I238" t="s">
        <v>3602</v>
      </c>
      <c r="J238" t="s">
        <v>3603</v>
      </c>
      <c r="K238" t="s">
        <v>74</v>
      </c>
      <c r="L238" t="s">
        <v>74</v>
      </c>
      <c r="M238" t="s">
        <v>77</v>
      </c>
      <c r="N238" t="s">
        <v>153</v>
      </c>
      <c r="O238" t="s">
        <v>74</v>
      </c>
      <c r="P238" t="s">
        <v>74</v>
      </c>
      <c r="Q238" t="s">
        <v>74</v>
      </c>
      <c r="R238" t="s">
        <v>74</v>
      </c>
      <c r="S238" t="s">
        <v>74</v>
      </c>
      <c r="T238" t="s">
        <v>3604</v>
      </c>
      <c r="U238" t="s">
        <v>3605</v>
      </c>
      <c r="V238" t="s">
        <v>3606</v>
      </c>
      <c r="W238" t="s">
        <v>3607</v>
      </c>
      <c r="X238" t="s">
        <v>3608</v>
      </c>
      <c r="Y238" t="s">
        <v>3609</v>
      </c>
      <c r="Z238" t="s">
        <v>74</v>
      </c>
      <c r="AA238" t="s">
        <v>74</v>
      </c>
      <c r="AB238" t="s">
        <v>3610</v>
      </c>
      <c r="AC238" t="s">
        <v>74</v>
      </c>
      <c r="AD238" t="s">
        <v>74</v>
      </c>
      <c r="AE238" t="s">
        <v>74</v>
      </c>
      <c r="AF238" t="s">
        <v>74</v>
      </c>
      <c r="AG238">
        <v>43</v>
      </c>
      <c r="AH238">
        <v>16</v>
      </c>
      <c r="AI238">
        <v>16</v>
      </c>
      <c r="AJ238">
        <v>0</v>
      </c>
      <c r="AK238">
        <v>0</v>
      </c>
      <c r="AL238" t="s">
        <v>3611</v>
      </c>
      <c r="AM238" t="s">
        <v>3612</v>
      </c>
      <c r="AN238" t="s">
        <v>3613</v>
      </c>
      <c r="AO238" t="s">
        <v>3614</v>
      </c>
      <c r="AP238" t="s">
        <v>74</v>
      </c>
      <c r="AQ238" t="s">
        <v>74</v>
      </c>
      <c r="AR238" t="s">
        <v>3615</v>
      </c>
      <c r="AS238" t="s">
        <v>3616</v>
      </c>
      <c r="AT238" t="s">
        <v>3598</v>
      </c>
      <c r="AU238">
        <v>2002</v>
      </c>
      <c r="AV238">
        <v>20</v>
      </c>
      <c r="AW238">
        <v>4</v>
      </c>
      <c r="AX238" t="s">
        <v>74</v>
      </c>
      <c r="AY238" t="s">
        <v>74</v>
      </c>
      <c r="AZ238" t="s">
        <v>74</v>
      </c>
      <c r="BA238" t="s">
        <v>74</v>
      </c>
      <c r="BB238">
        <v>461</v>
      </c>
      <c r="BC238">
        <v>470</v>
      </c>
      <c r="BD238" t="s">
        <v>74</v>
      </c>
      <c r="BE238" t="s">
        <v>3617</v>
      </c>
      <c r="BF238" t="str">
        <f>HYPERLINK("http://dx.doi.org/10.5194/angeo-20-461-2002","http://dx.doi.org/10.5194/angeo-20-461-2002")</f>
        <v>http://dx.doi.org/10.5194/angeo-20-461-2002</v>
      </c>
      <c r="BG238" t="s">
        <v>74</v>
      </c>
      <c r="BH238" t="s">
        <v>74</v>
      </c>
      <c r="BI238">
        <v>10</v>
      </c>
      <c r="BJ238" t="s">
        <v>3618</v>
      </c>
      <c r="BK238" t="s">
        <v>170</v>
      </c>
      <c r="BL238" t="s">
        <v>3619</v>
      </c>
      <c r="BM238" t="s">
        <v>3620</v>
      </c>
      <c r="BN238" t="s">
        <v>74</v>
      </c>
      <c r="BO238" t="s">
        <v>3621</v>
      </c>
      <c r="BP238" t="s">
        <v>74</v>
      </c>
      <c r="BQ238" t="s">
        <v>74</v>
      </c>
      <c r="BR238" t="s">
        <v>107</v>
      </c>
      <c r="BS238" t="s">
        <v>3622</v>
      </c>
      <c r="BT238" t="str">
        <f>HYPERLINK("https%3A%2F%2Fwww.webofscience.com%2Fwos%2Fwoscc%2Ffull-record%2FWOS:000175859400004","View Full Record in Web of Science")</f>
        <v>View Full Record in Web of Science</v>
      </c>
    </row>
    <row r="239" spans="1:72" x14ac:dyDescent="0.15">
      <c r="A239" t="s">
        <v>72</v>
      </c>
      <c r="B239" t="s">
        <v>3623</v>
      </c>
      <c r="C239" t="s">
        <v>74</v>
      </c>
      <c r="D239" t="s">
        <v>74</v>
      </c>
      <c r="E239" t="s">
        <v>74</v>
      </c>
      <c r="F239" t="s">
        <v>3623</v>
      </c>
      <c r="G239" t="s">
        <v>74</v>
      </c>
      <c r="H239" t="s">
        <v>74</v>
      </c>
      <c r="I239" t="s">
        <v>3624</v>
      </c>
      <c r="J239" t="s">
        <v>3625</v>
      </c>
      <c r="K239" t="s">
        <v>74</v>
      </c>
      <c r="L239" t="s">
        <v>74</v>
      </c>
      <c r="M239" t="s">
        <v>77</v>
      </c>
      <c r="N239" t="s">
        <v>153</v>
      </c>
      <c r="O239" t="s">
        <v>74</v>
      </c>
      <c r="P239" t="s">
        <v>74</v>
      </c>
      <c r="Q239" t="s">
        <v>74</v>
      </c>
      <c r="R239" t="s">
        <v>74</v>
      </c>
      <c r="S239" t="s">
        <v>74</v>
      </c>
      <c r="T239" t="s">
        <v>3626</v>
      </c>
      <c r="U239" t="s">
        <v>3627</v>
      </c>
      <c r="V239" t="s">
        <v>3628</v>
      </c>
      <c r="W239" t="s">
        <v>3629</v>
      </c>
      <c r="X239" t="s">
        <v>3630</v>
      </c>
      <c r="Y239" t="s">
        <v>3631</v>
      </c>
      <c r="Z239" t="s">
        <v>3632</v>
      </c>
      <c r="AA239" t="s">
        <v>74</v>
      </c>
      <c r="AB239" t="s">
        <v>74</v>
      </c>
      <c r="AC239" t="s">
        <v>74</v>
      </c>
      <c r="AD239" t="s">
        <v>74</v>
      </c>
      <c r="AE239" t="s">
        <v>74</v>
      </c>
      <c r="AF239" t="s">
        <v>74</v>
      </c>
      <c r="AG239">
        <v>25</v>
      </c>
      <c r="AH239">
        <v>52</v>
      </c>
      <c r="AI239">
        <v>55</v>
      </c>
      <c r="AJ239">
        <v>0</v>
      </c>
      <c r="AK239">
        <v>6</v>
      </c>
      <c r="AL239" t="s">
        <v>3633</v>
      </c>
      <c r="AM239" t="s">
        <v>3634</v>
      </c>
      <c r="AN239" t="s">
        <v>3635</v>
      </c>
      <c r="AO239" t="s">
        <v>3636</v>
      </c>
      <c r="AP239" t="s">
        <v>3637</v>
      </c>
      <c r="AQ239" t="s">
        <v>74</v>
      </c>
      <c r="AR239" t="s">
        <v>3638</v>
      </c>
      <c r="AS239" t="s">
        <v>3639</v>
      </c>
      <c r="AT239" t="s">
        <v>3598</v>
      </c>
      <c r="AU239">
        <v>2002</v>
      </c>
      <c r="AV239">
        <v>385</v>
      </c>
      <c r="AW239">
        <v>1</v>
      </c>
      <c r="AX239" t="s">
        <v>74</v>
      </c>
      <c r="AY239" t="s">
        <v>74</v>
      </c>
      <c r="AZ239" t="s">
        <v>74</v>
      </c>
      <c r="BA239" t="s">
        <v>74</v>
      </c>
      <c r="BB239">
        <v>328</v>
      </c>
      <c r="BC239">
        <v>336</v>
      </c>
      <c r="BD239" t="s">
        <v>74</v>
      </c>
      <c r="BE239" t="s">
        <v>3640</v>
      </c>
      <c r="BF239" t="str">
        <f>HYPERLINK("http://dx.doi.org/10.1051/0004-6361:20020132","http://dx.doi.org/10.1051/0004-6361:20020132")</f>
        <v>http://dx.doi.org/10.1051/0004-6361:20020132</v>
      </c>
      <c r="BG239" t="s">
        <v>74</v>
      </c>
      <c r="BH239" t="s">
        <v>74</v>
      </c>
      <c r="BI239">
        <v>9</v>
      </c>
      <c r="BJ239" t="s">
        <v>1856</v>
      </c>
      <c r="BK239" t="s">
        <v>170</v>
      </c>
      <c r="BL239" t="s">
        <v>1856</v>
      </c>
      <c r="BM239" t="s">
        <v>3641</v>
      </c>
      <c r="BN239" t="s">
        <v>74</v>
      </c>
      <c r="BO239" t="s">
        <v>1767</v>
      </c>
      <c r="BP239" t="s">
        <v>74</v>
      </c>
      <c r="BQ239" t="s">
        <v>74</v>
      </c>
      <c r="BR239" t="s">
        <v>107</v>
      </c>
      <c r="BS239" t="s">
        <v>3642</v>
      </c>
      <c r="BT239" t="str">
        <f>HYPERLINK("https%3A%2F%2Fwww.webofscience.com%2Fwos%2Fwoscc%2Ffull-record%2FWOS:000174626200030","View Full Record in Web of Science")</f>
        <v>View Full Record in Web of Science</v>
      </c>
    </row>
    <row r="240" spans="1:72" x14ac:dyDescent="0.15">
      <c r="A240" t="s">
        <v>72</v>
      </c>
      <c r="B240" t="s">
        <v>3643</v>
      </c>
      <c r="C240" t="s">
        <v>74</v>
      </c>
      <c r="D240" t="s">
        <v>74</v>
      </c>
      <c r="E240" t="s">
        <v>74</v>
      </c>
      <c r="F240" t="s">
        <v>3643</v>
      </c>
      <c r="G240" t="s">
        <v>74</v>
      </c>
      <c r="H240" t="s">
        <v>74</v>
      </c>
      <c r="I240" t="s">
        <v>3644</v>
      </c>
      <c r="J240" t="s">
        <v>3645</v>
      </c>
      <c r="K240" t="s">
        <v>74</v>
      </c>
      <c r="L240" t="s">
        <v>74</v>
      </c>
      <c r="M240" t="s">
        <v>77</v>
      </c>
      <c r="N240" t="s">
        <v>153</v>
      </c>
      <c r="O240" t="s">
        <v>74</v>
      </c>
      <c r="P240" t="s">
        <v>74</v>
      </c>
      <c r="Q240" t="s">
        <v>74</v>
      </c>
      <c r="R240" t="s">
        <v>74</v>
      </c>
      <c r="S240" t="s">
        <v>74</v>
      </c>
      <c r="T240" t="s">
        <v>74</v>
      </c>
      <c r="U240" t="s">
        <v>74</v>
      </c>
      <c r="V240" t="s">
        <v>74</v>
      </c>
      <c r="W240" t="s">
        <v>3646</v>
      </c>
      <c r="X240" t="s">
        <v>3647</v>
      </c>
      <c r="Y240" t="s">
        <v>3648</v>
      </c>
      <c r="Z240" t="s">
        <v>74</v>
      </c>
      <c r="AA240" t="s">
        <v>74</v>
      </c>
      <c r="AB240" t="s">
        <v>74</v>
      </c>
      <c r="AC240" t="s">
        <v>74</v>
      </c>
      <c r="AD240" t="s">
        <v>74</v>
      </c>
      <c r="AE240" t="s">
        <v>74</v>
      </c>
      <c r="AF240" t="s">
        <v>74</v>
      </c>
      <c r="AG240">
        <v>9</v>
      </c>
      <c r="AH240">
        <v>3</v>
      </c>
      <c r="AI240">
        <v>3</v>
      </c>
      <c r="AJ240">
        <v>0</v>
      </c>
      <c r="AK240">
        <v>3</v>
      </c>
      <c r="AL240" t="s">
        <v>1646</v>
      </c>
      <c r="AM240" t="s">
        <v>895</v>
      </c>
      <c r="AN240" t="s">
        <v>1647</v>
      </c>
      <c r="AO240" t="s">
        <v>3649</v>
      </c>
      <c r="AP240" t="s">
        <v>3650</v>
      </c>
      <c r="AQ240" t="s">
        <v>74</v>
      </c>
      <c r="AR240" t="s">
        <v>3651</v>
      </c>
      <c r="AS240" t="s">
        <v>3652</v>
      </c>
      <c r="AT240" t="s">
        <v>3598</v>
      </c>
      <c r="AU240">
        <v>2002</v>
      </c>
      <c r="AV240">
        <v>43</v>
      </c>
      <c r="AW240">
        <v>2</v>
      </c>
      <c r="AX240" t="s">
        <v>74</v>
      </c>
      <c r="AY240" t="s">
        <v>74</v>
      </c>
      <c r="AZ240" t="s">
        <v>74</v>
      </c>
      <c r="BA240" t="s">
        <v>74</v>
      </c>
      <c r="BB240">
        <v>22</v>
      </c>
      <c r="BC240">
        <v>24</v>
      </c>
      <c r="BD240" t="s">
        <v>74</v>
      </c>
      <c r="BE240" t="s">
        <v>74</v>
      </c>
      <c r="BF240" t="s">
        <v>74</v>
      </c>
      <c r="BG240" t="s">
        <v>74</v>
      </c>
      <c r="BH240" t="s">
        <v>74</v>
      </c>
      <c r="BI240">
        <v>3</v>
      </c>
      <c r="BJ240" t="s">
        <v>3653</v>
      </c>
      <c r="BK240" t="s">
        <v>170</v>
      </c>
      <c r="BL240" t="s">
        <v>3653</v>
      </c>
      <c r="BM240" t="s">
        <v>3654</v>
      </c>
      <c r="BN240" t="s">
        <v>74</v>
      </c>
      <c r="BO240" t="s">
        <v>74</v>
      </c>
      <c r="BP240" t="s">
        <v>74</v>
      </c>
      <c r="BQ240" t="s">
        <v>74</v>
      </c>
      <c r="BR240" t="s">
        <v>107</v>
      </c>
      <c r="BS240" t="s">
        <v>3655</v>
      </c>
      <c r="BT240" t="str">
        <f>HYPERLINK("https%3A%2F%2Fwww.webofscience.com%2Fwos%2Fwoscc%2Ffull-record%2FWOS:000174809900012","View Full Record in Web of Science")</f>
        <v>View Full Record in Web of Science</v>
      </c>
    </row>
    <row r="241" spans="1:72" x14ac:dyDescent="0.15">
      <c r="A241" t="s">
        <v>72</v>
      </c>
      <c r="B241" t="s">
        <v>3656</v>
      </c>
      <c r="C241" t="s">
        <v>74</v>
      </c>
      <c r="D241" t="s">
        <v>74</v>
      </c>
      <c r="E241" t="s">
        <v>74</v>
      </c>
      <c r="F241" t="s">
        <v>3656</v>
      </c>
      <c r="G241" t="s">
        <v>74</v>
      </c>
      <c r="H241" t="s">
        <v>74</v>
      </c>
      <c r="I241" t="s">
        <v>3657</v>
      </c>
      <c r="J241" t="s">
        <v>3658</v>
      </c>
      <c r="K241" t="s">
        <v>74</v>
      </c>
      <c r="L241" t="s">
        <v>74</v>
      </c>
      <c r="M241" t="s">
        <v>77</v>
      </c>
      <c r="N241" t="s">
        <v>153</v>
      </c>
      <c r="O241" t="s">
        <v>74</v>
      </c>
      <c r="P241" t="s">
        <v>74</v>
      </c>
      <c r="Q241" t="s">
        <v>74</v>
      </c>
      <c r="R241" t="s">
        <v>74</v>
      </c>
      <c r="S241" t="s">
        <v>74</v>
      </c>
      <c r="T241" t="s">
        <v>3659</v>
      </c>
      <c r="U241" t="s">
        <v>74</v>
      </c>
      <c r="V241" t="s">
        <v>3660</v>
      </c>
      <c r="W241" t="s">
        <v>3661</v>
      </c>
      <c r="X241" t="s">
        <v>3662</v>
      </c>
      <c r="Y241" t="s">
        <v>3663</v>
      </c>
      <c r="Z241" t="s">
        <v>3664</v>
      </c>
      <c r="AA241" t="s">
        <v>74</v>
      </c>
      <c r="AB241" t="s">
        <v>74</v>
      </c>
      <c r="AC241" t="s">
        <v>74</v>
      </c>
      <c r="AD241" t="s">
        <v>74</v>
      </c>
      <c r="AE241" t="s">
        <v>74</v>
      </c>
      <c r="AF241" t="s">
        <v>74</v>
      </c>
      <c r="AG241">
        <v>3</v>
      </c>
      <c r="AH241">
        <v>2</v>
      </c>
      <c r="AI241">
        <v>2</v>
      </c>
      <c r="AJ241">
        <v>0</v>
      </c>
      <c r="AK241">
        <v>0</v>
      </c>
      <c r="AL241" t="s">
        <v>194</v>
      </c>
      <c r="AM241" t="s">
        <v>195</v>
      </c>
      <c r="AN241" t="s">
        <v>196</v>
      </c>
      <c r="AO241" t="s">
        <v>3665</v>
      </c>
      <c r="AP241" t="s">
        <v>3666</v>
      </c>
      <c r="AQ241" t="s">
        <v>74</v>
      </c>
      <c r="AR241" t="s">
        <v>3658</v>
      </c>
      <c r="AS241" t="s">
        <v>3667</v>
      </c>
      <c r="AT241" t="s">
        <v>3598</v>
      </c>
      <c r="AU241">
        <v>2002</v>
      </c>
      <c r="AV241">
        <v>57</v>
      </c>
      <c r="AW241">
        <v>2</v>
      </c>
      <c r="AX241" t="s">
        <v>74</v>
      </c>
      <c r="AY241" t="s">
        <v>74</v>
      </c>
      <c r="AZ241" t="s">
        <v>74</v>
      </c>
      <c r="BA241" t="s">
        <v>74</v>
      </c>
      <c r="BB241">
        <v>133</v>
      </c>
      <c r="BC241">
        <v>137</v>
      </c>
      <c r="BD241" t="s">
        <v>74</v>
      </c>
      <c r="BE241" t="s">
        <v>74</v>
      </c>
      <c r="BF241" t="s">
        <v>74</v>
      </c>
      <c r="BG241" t="s">
        <v>74</v>
      </c>
      <c r="BH241" t="s">
        <v>74</v>
      </c>
      <c r="BI241">
        <v>5</v>
      </c>
      <c r="BJ241" t="s">
        <v>1814</v>
      </c>
      <c r="BK241" t="s">
        <v>170</v>
      </c>
      <c r="BL241" t="s">
        <v>1815</v>
      </c>
      <c r="BM241" t="s">
        <v>3668</v>
      </c>
      <c r="BN241" t="s">
        <v>74</v>
      </c>
      <c r="BO241" t="s">
        <v>74</v>
      </c>
      <c r="BP241" t="s">
        <v>74</v>
      </c>
      <c r="BQ241" t="s">
        <v>74</v>
      </c>
      <c r="BR241" t="s">
        <v>107</v>
      </c>
      <c r="BS241" t="s">
        <v>3669</v>
      </c>
      <c r="BT241" t="str">
        <f>HYPERLINK("https%3A%2F%2Fwww.webofscience.com%2Fwos%2Fwoscc%2Ffull-record%2FWOS:000176096500001","View Full Record in Web of Science")</f>
        <v>View Full Record in Web of Science</v>
      </c>
    </row>
    <row r="242" spans="1:72" x14ac:dyDescent="0.15">
      <c r="A242" t="s">
        <v>72</v>
      </c>
      <c r="B242" t="s">
        <v>2124</v>
      </c>
      <c r="C242" t="s">
        <v>74</v>
      </c>
      <c r="D242" t="s">
        <v>74</v>
      </c>
      <c r="E242" t="s">
        <v>74</v>
      </c>
      <c r="F242" t="s">
        <v>2124</v>
      </c>
      <c r="G242" t="s">
        <v>74</v>
      </c>
      <c r="H242" t="s">
        <v>74</v>
      </c>
      <c r="I242" t="s">
        <v>3670</v>
      </c>
      <c r="J242" t="s">
        <v>3671</v>
      </c>
      <c r="K242" t="s">
        <v>74</v>
      </c>
      <c r="L242" t="s">
        <v>74</v>
      </c>
      <c r="M242" t="s">
        <v>77</v>
      </c>
      <c r="N242" t="s">
        <v>1790</v>
      </c>
      <c r="O242" t="s">
        <v>74</v>
      </c>
      <c r="P242" t="s">
        <v>74</v>
      </c>
      <c r="Q242" t="s">
        <v>74</v>
      </c>
      <c r="R242" t="s">
        <v>74</v>
      </c>
      <c r="S242" t="s">
        <v>74</v>
      </c>
      <c r="T242" t="s">
        <v>74</v>
      </c>
      <c r="U242" t="s">
        <v>74</v>
      </c>
      <c r="V242" t="s">
        <v>74</v>
      </c>
      <c r="W242" t="s">
        <v>74</v>
      </c>
      <c r="X242" t="s">
        <v>74</v>
      </c>
      <c r="Y242" t="s">
        <v>74</v>
      </c>
      <c r="Z242" t="s">
        <v>74</v>
      </c>
      <c r="AA242" t="s">
        <v>74</v>
      </c>
      <c r="AB242" t="s">
        <v>74</v>
      </c>
      <c r="AC242" t="s">
        <v>74</v>
      </c>
      <c r="AD242" t="s">
        <v>74</v>
      </c>
      <c r="AE242" t="s">
        <v>74</v>
      </c>
      <c r="AF242" t="s">
        <v>74</v>
      </c>
      <c r="AG242">
        <v>0</v>
      </c>
      <c r="AH242">
        <v>0</v>
      </c>
      <c r="AI242">
        <v>0</v>
      </c>
      <c r="AJ242">
        <v>0</v>
      </c>
      <c r="AK242">
        <v>2</v>
      </c>
      <c r="AL242" t="s">
        <v>1439</v>
      </c>
      <c r="AM242" t="s">
        <v>1440</v>
      </c>
      <c r="AN242" t="s">
        <v>1441</v>
      </c>
      <c r="AO242" t="s">
        <v>3672</v>
      </c>
      <c r="AP242" t="s">
        <v>3673</v>
      </c>
      <c r="AQ242" t="s">
        <v>74</v>
      </c>
      <c r="AR242" t="s">
        <v>3674</v>
      </c>
      <c r="AS242" t="s">
        <v>3675</v>
      </c>
      <c r="AT242" t="s">
        <v>3598</v>
      </c>
      <c r="AU242">
        <v>2002</v>
      </c>
      <c r="AV242">
        <v>83</v>
      </c>
      <c r="AW242">
        <v>4</v>
      </c>
      <c r="AX242" t="s">
        <v>74</v>
      </c>
      <c r="AY242" t="s">
        <v>74</v>
      </c>
      <c r="AZ242" t="s">
        <v>74</v>
      </c>
      <c r="BA242" t="s">
        <v>74</v>
      </c>
      <c r="BB242">
        <v>497</v>
      </c>
      <c r="BC242">
        <v>497</v>
      </c>
      <c r="BD242" t="s">
        <v>74</v>
      </c>
      <c r="BE242" t="s">
        <v>74</v>
      </c>
      <c r="BF242" t="s">
        <v>74</v>
      </c>
      <c r="BG242" t="s">
        <v>74</v>
      </c>
      <c r="BH242" t="s">
        <v>74</v>
      </c>
      <c r="BI242">
        <v>1</v>
      </c>
      <c r="BJ242" t="s">
        <v>403</v>
      </c>
      <c r="BK242" t="s">
        <v>170</v>
      </c>
      <c r="BL242" t="s">
        <v>403</v>
      </c>
      <c r="BM242" t="s">
        <v>3676</v>
      </c>
      <c r="BN242" t="s">
        <v>74</v>
      </c>
      <c r="BO242" t="s">
        <v>74</v>
      </c>
      <c r="BP242" t="s">
        <v>74</v>
      </c>
      <c r="BQ242" t="s">
        <v>74</v>
      </c>
      <c r="BR242" t="s">
        <v>107</v>
      </c>
      <c r="BS242" t="s">
        <v>3677</v>
      </c>
      <c r="BT242" t="str">
        <f>HYPERLINK("https%3A%2F%2Fwww.webofscience.com%2Fwos%2Fwoscc%2Ffull-record%2FWOS:000175346800004","View Full Record in Web of Science")</f>
        <v>View Full Record in Web of Science</v>
      </c>
    </row>
    <row r="243" spans="1:72" x14ac:dyDescent="0.15">
      <c r="A243" t="s">
        <v>72</v>
      </c>
      <c r="B243" t="s">
        <v>3678</v>
      </c>
      <c r="C243" t="s">
        <v>74</v>
      </c>
      <c r="D243" t="s">
        <v>74</v>
      </c>
      <c r="E243" t="s">
        <v>74</v>
      </c>
      <c r="F243" t="s">
        <v>3678</v>
      </c>
      <c r="G243" t="s">
        <v>74</v>
      </c>
      <c r="H243" t="s">
        <v>74</v>
      </c>
      <c r="I243" t="s">
        <v>3679</v>
      </c>
      <c r="J243" t="s">
        <v>3680</v>
      </c>
      <c r="K243" t="s">
        <v>74</v>
      </c>
      <c r="L243" t="s">
        <v>74</v>
      </c>
      <c r="M243" t="s">
        <v>77</v>
      </c>
      <c r="N243" t="s">
        <v>153</v>
      </c>
      <c r="O243" t="s">
        <v>74</v>
      </c>
      <c r="P243" t="s">
        <v>74</v>
      </c>
      <c r="Q243" t="s">
        <v>74</v>
      </c>
      <c r="R243" t="s">
        <v>74</v>
      </c>
      <c r="S243" t="s">
        <v>74</v>
      </c>
      <c r="T243" t="s">
        <v>74</v>
      </c>
      <c r="U243" t="s">
        <v>3681</v>
      </c>
      <c r="V243" t="s">
        <v>3682</v>
      </c>
      <c r="W243" t="s">
        <v>3683</v>
      </c>
      <c r="X243" t="s">
        <v>3684</v>
      </c>
      <c r="Y243" t="s">
        <v>3685</v>
      </c>
      <c r="Z243" t="s">
        <v>74</v>
      </c>
      <c r="AA243" t="s">
        <v>3686</v>
      </c>
      <c r="AB243" t="s">
        <v>3687</v>
      </c>
      <c r="AC243" t="s">
        <v>74</v>
      </c>
      <c r="AD243" t="s">
        <v>74</v>
      </c>
      <c r="AE243" t="s">
        <v>74</v>
      </c>
      <c r="AF243" t="s">
        <v>74</v>
      </c>
      <c r="AG243">
        <v>28</v>
      </c>
      <c r="AH243">
        <v>16</v>
      </c>
      <c r="AI243">
        <v>17</v>
      </c>
      <c r="AJ243">
        <v>0</v>
      </c>
      <c r="AK243">
        <v>4</v>
      </c>
      <c r="AL243" t="s">
        <v>3688</v>
      </c>
      <c r="AM243" t="s">
        <v>3689</v>
      </c>
      <c r="AN243" t="s">
        <v>3690</v>
      </c>
      <c r="AO243" t="s">
        <v>3691</v>
      </c>
      <c r="AP243" t="s">
        <v>3692</v>
      </c>
      <c r="AQ243" t="s">
        <v>74</v>
      </c>
      <c r="AR243" t="s">
        <v>3693</v>
      </c>
      <c r="AS243" t="s">
        <v>3694</v>
      </c>
      <c r="AT243" t="s">
        <v>3598</v>
      </c>
      <c r="AU243">
        <v>2002</v>
      </c>
      <c r="AV243">
        <v>92</v>
      </c>
      <c r="AW243">
        <v>3</v>
      </c>
      <c r="AX243" t="s">
        <v>74</v>
      </c>
      <c r="AY243" t="s">
        <v>74</v>
      </c>
      <c r="AZ243" t="s">
        <v>74</v>
      </c>
      <c r="BA243" t="s">
        <v>74</v>
      </c>
      <c r="BB243">
        <v>896</v>
      </c>
      <c r="BC243">
        <v>903</v>
      </c>
      <c r="BD243" t="s">
        <v>74</v>
      </c>
      <c r="BE243" t="s">
        <v>3695</v>
      </c>
      <c r="BF243" t="str">
        <f>HYPERLINK("http://dx.doi.org/10.1785/0120010164","http://dx.doi.org/10.1785/0120010164")</f>
        <v>http://dx.doi.org/10.1785/0120010164</v>
      </c>
      <c r="BG243" t="s">
        <v>74</v>
      </c>
      <c r="BH243" t="s">
        <v>74</v>
      </c>
      <c r="BI243">
        <v>8</v>
      </c>
      <c r="BJ243" t="s">
        <v>556</v>
      </c>
      <c r="BK243" t="s">
        <v>170</v>
      </c>
      <c r="BL243" t="s">
        <v>556</v>
      </c>
      <c r="BM243" t="s">
        <v>3696</v>
      </c>
      <c r="BN243" t="s">
        <v>74</v>
      </c>
      <c r="BO243" t="s">
        <v>74</v>
      </c>
      <c r="BP243" t="s">
        <v>74</v>
      </c>
      <c r="BQ243" t="s">
        <v>74</v>
      </c>
      <c r="BR243" t="s">
        <v>107</v>
      </c>
      <c r="BS243" t="s">
        <v>3697</v>
      </c>
      <c r="BT243" t="str">
        <f>HYPERLINK("https%3A%2F%2Fwww.webofscience.com%2Fwos%2Fwoscc%2Ffull-record%2FWOS:000175987000002","View Full Record in Web of Science")</f>
        <v>View Full Record in Web of Science</v>
      </c>
    </row>
    <row r="244" spans="1:72" x14ac:dyDescent="0.15">
      <c r="A244" t="s">
        <v>72</v>
      </c>
      <c r="B244" t="s">
        <v>3698</v>
      </c>
      <c r="C244" t="s">
        <v>74</v>
      </c>
      <c r="D244" t="s">
        <v>74</v>
      </c>
      <c r="E244" t="s">
        <v>74</v>
      </c>
      <c r="F244" t="s">
        <v>3698</v>
      </c>
      <c r="G244" t="s">
        <v>74</v>
      </c>
      <c r="H244" t="s">
        <v>74</v>
      </c>
      <c r="I244" t="s">
        <v>3699</v>
      </c>
      <c r="J244" t="s">
        <v>3700</v>
      </c>
      <c r="K244" t="s">
        <v>74</v>
      </c>
      <c r="L244" t="s">
        <v>74</v>
      </c>
      <c r="M244" t="s">
        <v>77</v>
      </c>
      <c r="N244" t="s">
        <v>153</v>
      </c>
      <c r="O244" t="s">
        <v>74</v>
      </c>
      <c r="P244" t="s">
        <v>74</v>
      </c>
      <c r="Q244" t="s">
        <v>74</v>
      </c>
      <c r="R244" t="s">
        <v>74</v>
      </c>
      <c r="S244" t="s">
        <v>74</v>
      </c>
      <c r="T244" t="s">
        <v>74</v>
      </c>
      <c r="U244" t="s">
        <v>3701</v>
      </c>
      <c r="V244" t="s">
        <v>3702</v>
      </c>
      <c r="W244" t="s">
        <v>3703</v>
      </c>
      <c r="X244" t="s">
        <v>3704</v>
      </c>
      <c r="Y244" t="s">
        <v>268</v>
      </c>
      <c r="Z244" t="s">
        <v>3705</v>
      </c>
      <c r="AA244" t="s">
        <v>3706</v>
      </c>
      <c r="AB244" t="s">
        <v>74</v>
      </c>
      <c r="AC244" t="s">
        <v>74</v>
      </c>
      <c r="AD244" t="s">
        <v>74</v>
      </c>
      <c r="AE244" t="s">
        <v>74</v>
      </c>
      <c r="AF244" t="s">
        <v>74</v>
      </c>
      <c r="AG244">
        <v>12</v>
      </c>
      <c r="AH244">
        <v>39</v>
      </c>
      <c r="AI244">
        <v>45</v>
      </c>
      <c r="AJ244">
        <v>0</v>
      </c>
      <c r="AK244">
        <v>14</v>
      </c>
      <c r="AL244" t="s">
        <v>3707</v>
      </c>
      <c r="AM244" t="s">
        <v>995</v>
      </c>
      <c r="AN244" t="s">
        <v>3708</v>
      </c>
      <c r="AO244" t="s">
        <v>3709</v>
      </c>
      <c r="AP244" t="s">
        <v>3710</v>
      </c>
      <c r="AQ244" t="s">
        <v>74</v>
      </c>
      <c r="AR244" t="s">
        <v>3711</v>
      </c>
      <c r="AS244" t="s">
        <v>3712</v>
      </c>
      <c r="AT244" t="s">
        <v>3598</v>
      </c>
      <c r="AU244">
        <v>2002</v>
      </c>
      <c r="AV244">
        <v>59</v>
      </c>
      <c r="AW244">
        <v>4</v>
      </c>
      <c r="AX244" t="s">
        <v>74</v>
      </c>
      <c r="AY244" t="s">
        <v>74</v>
      </c>
      <c r="AZ244" t="s">
        <v>74</v>
      </c>
      <c r="BA244" t="s">
        <v>74</v>
      </c>
      <c r="BB244">
        <v>592</v>
      </c>
      <c r="BC244">
        <v>596</v>
      </c>
      <c r="BD244" t="s">
        <v>74</v>
      </c>
      <c r="BE244" t="s">
        <v>3713</v>
      </c>
      <c r="BF244" t="str">
        <f>HYPERLINK("http://dx.doi.org/10.1139/F02-049","http://dx.doi.org/10.1139/F02-049")</f>
        <v>http://dx.doi.org/10.1139/F02-049</v>
      </c>
      <c r="BG244" t="s">
        <v>74</v>
      </c>
      <c r="BH244" t="s">
        <v>74</v>
      </c>
      <c r="BI244">
        <v>5</v>
      </c>
      <c r="BJ244" t="s">
        <v>1466</v>
      </c>
      <c r="BK244" t="s">
        <v>170</v>
      </c>
      <c r="BL244" t="s">
        <v>1466</v>
      </c>
      <c r="BM244" t="s">
        <v>3714</v>
      </c>
      <c r="BN244" t="s">
        <v>74</v>
      </c>
      <c r="BO244" t="s">
        <v>74</v>
      </c>
      <c r="BP244" t="s">
        <v>74</v>
      </c>
      <c r="BQ244" t="s">
        <v>74</v>
      </c>
      <c r="BR244" t="s">
        <v>107</v>
      </c>
      <c r="BS244" t="s">
        <v>3715</v>
      </c>
      <c r="BT244" t="str">
        <f>HYPERLINK("https%3A%2F%2Fwww.webofscience.com%2Fwos%2Fwoscc%2Ffull-record%2FWOS:000176313200002","View Full Record in Web of Science")</f>
        <v>View Full Record in Web of Science</v>
      </c>
    </row>
    <row r="245" spans="1:72" x14ac:dyDescent="0.15">
      <c r="A245" t="s">
        <v>72</v>
      </c>
      <c r="B245" t="s">
        <v>3716</v>
      </c>
      <c r="C245" t="s">
        <v>74</v>
      </c>
      <c r="D245" t="s">
        <v>74</v>
      </c>
      <c r="E245" t="s">
        <v>74</v>
      </c>
      <c r="F245" t="s">
        <v>3716</v>
      </c>
      <c r="G245" t="s">
        <v>74</v>
      </c>
      <c r="H245" t="s">
        <v>74</v>
      </c>
      <c r="I245" t="s">
        <v>3717</v>
      </c>
      <c r="J245" t="s">
        <v>966</v>
      </c>
      <c r="K245" t="s">
        <v>74</v>
      </c>
      <c r="L245" t="s">
        <v>74</v>
      </c>
      <c r="M245" t="s">
        <v>77</v>
      </c>
      <c r="N245" t="s">
        <v>153</v>
      </c>
      <c r="O245" t="s">
        <v>74</v>
      </c>
      <c r="P245" t="s">
        <v>74</v>
      </c>
      <c r="Q245" t="s">
        <v>74</v>
      </c>
      <c r="R245" t="s">
        <v>74</v>
      </c>
      <c r="S245" t="s">
        <v>74</v>
      </c>
      <c r="T245" t="s">
        <v>74</v>
      </c>
      <c r="U245" t="s">
        <v>3718</v>
      </c>
      <c r="V245" t="s">
        <v>3719</v>
      </c>
      <c r="W245" t="s">
        <v>3720</v>
      </c>
      <c r="X245" t="s">
        <v>3721</v>
      </c>
      <c r="Y245" t="s">
        <v>3722</v>
      </c>
      <c r="Z245" t="s">
        <v>74</v>
      </c>
      <c r="AA245" t="s">
        <v>74</v>
      </c>
      <c r="AB245" t="s">
        <v>74</v>
      </c>
      <c r="AC245" t="s">
        <v>74</v>
      </c>
      <c r="AD245" t="s">
        <v>74</v>
      </c>
      <c r="AE245" t="s">
        <v>74</v>
      </c>
      <c r="AF245" t="s">
        <v>74</v>
      </c>
      <c r="AG245">
        <v>35</v>
      </c>
      <c r="AH245">
        <v>1</v>
      </c>
      <c r="AI245">
        <v>1</v>
      </c>
      <c r="AJ245">
        <v>0</v>
      </c>
      <c r="AK245">
        <v>4</v>
      </c>
      <c r="AL245" t="s">
        <v>3723</v>
      </c>
      <c r="AM245" t="s">
        <v>995</v>
      </c>
      <c r="AN245" t="s">
        <v>3724</v>
      </c>
      <c r="AO245" t="s">
        <v>977</v>
      </c>
      <c r="AP245" t="s">
        <v>74</v>
      </c>
      <c r="AQ245" t="s">
        <v>74</v>
      </c>
      <c r="AR245" t="s">
        <v>979</v>
      </c>
      <c r="AS245" t="s">
        <v>980</v>
      </c>
      <c r="AT245" t="s">
        <v>3598</v>
      </c>
      <c r="AU245">
        <v>2002</v>
      </c>
      <c r="AV245">
        <v>28</v>
      </c>
      <c r="AW245">
        <v>2</v>
      </c>
      <c r="AX245" t="s">
        <v>74</v>
      </c>
      <c r="AY245" t="s">
        <v>74</v>
      </c>
      <c r="AZ245" t="s">
        <v>74</v>
      </c>
      <c r="BA245" t="s">
        <v>74</v>
      </c>
      <c r="BB245">
        <v>187</v>
      </c>
      <c r="BC245">
        <v>195</v>
      </c>
      <c r="BD245" t="s">
        <v>74</v>
      </c>
      <c r="BE245" t="s">
        <v>3725</v>
      </c>
      <c r="BF245" t="str">
        <f>HYPERLINK("http://dx.doi.org/10.5589/m02-017","http://dx.doi.org/10.5589/m02-017")</f>
        <v>http://dx.doi.org/10.5589/m02-017</v>
      </c>
      <c r="BG245" t="s">
        <v>74</v>
      </c>
      <c r="BH245" t="s">
        <v>74</v>
      </c>
      <c r="BI245">
        <v>9</v>
      </c>
      <c r="BJ245" t="s">
        <v>982</v>
      </c>
      <c r="BK245" t="s">
        <v>170</v>
      </c>
      <c r="BL245" t="s">
        <v>982</v>
      </c>
      <c r="BM245" t="s">
        <v>3726</v>
      </c>
      <c r="BN245" t="s">
        <v>74</v>
      </c>
      <c r="BO245" t="s">
        <v>74</v>
      </c>
      <c r="BP245" t="s">
        <v>74</v>
      </c>
      <c r="BQ245" t="s">
        <v>74</v>
      </c>
      <c r="BR245" t="s">
        <v>107</v>
      </c>
      <c r="BS245" t="s">
        <v>3727</v>
      </c>
      <c r="BT245" t="str">
        <f>HYPERLINK("https%3A%2F%2Fwww.webofscience.com%2Fwos%2Fwoscc%2Ffull-record%2FWOS:000175510300012","View Full Record in Web of Science")</f>
        <v>View Full Record in Web of Science</v>
      </c>
    </row>
    <row r="246" spans="1:72" x14ac:dyDescent="0.15">
      <c r="A246" t="s">
        <v>72</v>
      </c>
      <c r="B246" t="s">
        <v>3728</v>
      </c>
      <c r="C246" t="s">
        <v>74</v>
      </c>
      <c r="D246" t="s">
        <v>74</v>
      </c>
      <c r="E246" t="s">
        <v>74</v>
      </c>
      <c r="F246" t="s">
        <v>3728</v>
      </c>
      <c r="G246" t="s">
        <v>74</v>
      </c>
      <c r="H246" t="s">
        <v>74</v>
      </c>
      <c r="I246" t="s">
        <v>3729</v>
      </c>
      <c r="J246" t="s">
        <v>1025</v>
      </c>
      <c r="K246" t="s">
        <v>74</v>
      </c>
      <c r="L246" t="s">
        <v>74</v>
      </c>
      <c r="M246" t="s">
        <v>77</v>
      </c>
      <c r="N246" t="s">
        <v>153</v>
      </c>
      <c r="O246" t="s">
        <v>74</v>
      </c>
      <c r="P246" t="s">
        <v>74</v>
      </c>
      <c r="Q246" t="s">
        <v>74</v>
      </c>
      <c r="R246" t="s">
        <v>74</v>
      </c>
      <c r="S246" t="s">
        <v>74</v>
      </c>
      <c r="T246" t="s">
        <v>74</v>
      </c>
      <c r="U246" t="s">
        <v>3730</v>
      </c>
      <c r="V246" t="s">
        <v>3731</v>
      </c>
      <c r="W246" t="s">
        <v>3732</v>
      </c>
      <c r="X246" t="s">
        <v>3733</v>
      </c>
      <c r="Y246" t="s">
        <v>3734</v>
      </c>
      <c r="Z246" t="s">
        <v>3735</v>
      </c>
      <c r="AA246" t="s">
        <v>3736</v>
      </c>
      <c r="AB246" t="s">
        <v>3737</v>
      </c>
      <c r="AC246" t="s">
        <v>74</v>
      </c>
      <c r="AD246" t="s">
        <v>74</v>
      </c>
      <c r="AE246" t="s">
        <v>74</v>
      </c>
      <c r="AF246" t="s">
        <v>74</v>
      </c>
      <c r="AG246">
        <v>64</v>
      </c>
      <c r="AH246">
        <v>157</v>
      </c>
      <c r="AI246">
        <v>183</v>
      </c>
      <c r="AJ246">
        <v>2</v>
      </c>
      <c r="AK246">
        <v>49</v>
      </c>
      <c r="AL246" t="s">
        <v>194</v>
      </c>
      <c r="AM246" t="s">
        <v>195</v>
      </c>
      <c r="AN246" t="s">
        <v>271</v>
      </c>
      <c r="AO246" t="s">
        <v>1033</v>
      </c>
      <c r="AP246" t="s">
        <v>2429</v>
      </c>
      <c r="AQ246" t="s">
        <v>74</v>
      </c>
      <c r="AR246" t="s">
        <v>1034</v>
      </c>
      <c r="AS246" t="s">
        <v>1035</v>
      </c>
      <c r="AT246" t="s">
        <v>3598</v>
      </c>
      <c r="AU246">
        <v>2002</v>
      </c>
      <c r="AV246">
        <v>18</v>
      </c>
      <c r="AW246">
        <v>8</v>
      </c>
      <c r="AX246" t="s">
        <v>74</v>
      </c>
      <c r="AY246" t="s">
        <v>74</v>
      </c>
      <c r="AZ246" t="s">
        <v>74</v>
      </c>
      <c r="BA246" t="s">
        <v>74</v>
      </c>
      <c r="BB246">
        <v>647</v>
      </c>
      <c r="BC246">
        <v>660</v>
      </c>
      <c r="BD246" t="s">
        <v>74</v>
      </c>
      <c r="BE246" t="s">
        <v>3738</v>
      </c>
      <c r="BF246" t="str">
        <f>HYPERLINK("http://dx.doi.org/10.1007/s00382-001-0193-9","http://dx.doi.org/10.1007/s00382-001-0193-9")</f>
        <v>http://dx.doi.org/10.1007/s00382-001-0193-9</v>
      </c>
      <c r="BG246" t="s">
        <v>74</v>
      </c>
      <c r="BH246" t="s">
        <v>74</v>
      </c>
      <c r="BI246">
        <v>14</v>
      </c>
      <c r="BJ246" t="s">
        <v>403</v>
      </c>
      <c r="BK246" t="s">
        <v>170</v>
      </c>
      <c r="BL246" t="s">
        <v>403</v>
      </c>
      <c r="BM246" t="s">
        <v>3739</v>
      </c>
      <c r="BN246" t="s">
        <v>74</v>
      </c>
      <c r="BO246" t="s">
        <v>74</v>
      </c>
      <c r="BP246" t="s">
        <v>74</v>
      </c>
      <c r="BQ246" t="s">
        <v>74</v>
      </c>
      <c r="BR246" t="s">
        <v>107</v>
      </c>
      <c r="BS246" t="s">
        <v>3740</v>
      </c>
      <c r="BT246" t="str">
        <f>HYPERLINK("https%3A%2F%2Fwww.webofscience.com%2Fwos%2Fwoscc%2Ffull-record%2FWOS:000175791000002","View Full Record in Web of Science")</f>
        <v>View Full Record in Web of Science</v>
      </c>
    </row>
    <row r="247" spans="1:72" x14ac:dyDescent="0.15">
      <c r="A247" t="s">
        <v>72</v>
      </c>
      <c r="B247" t="s">
        <v>3741</v>
      </c>
      <c r="C247" t="s">
        <v>74</v>
      </c>
      <c r="D247" t="s">
        <v>74</v>
      </c>
      <c r="E247" t="s">
        <v>74</v>
      </c>
      <c r="F247" t="s">
        <v>3741</v>
      </c>
      <c r="G247" t="s">
        <v>74</v>
      </c>
      <c r="H247" t="s">
        <v>74</v>
      </c>
      <c r="I247" t="s">
        <v>3742</v>
      </c>
      <c r="J247" t="s">
        <v>1025</v>
      </c>
      <c r="K247" t="s">
        <v>74</v>
      </c>
      <c r="L247" t="s">
        <v>74</v>
      </c>
      <c r="M247" t="s">
        <v>77</v>
      </c>
      <c r="N247" t="s">
        <v>153</v>
      </c>
      <c r="O247" t="s">
        <v>74</v>
      </c>
      <c r="P247" t="s">
        <v>74</v>
      </c>
      <c r="Q247" t="s">
        <v>74</v>
      </c>
      <c r="R247" t="s">
        <v>74</v>
      </c>
      <c r="S247" t="s">
        <v>74</v>
      </c>
      <c r="T247" t="s">
        <v>74</v>
      </c>
      <c r="U247" t="s">
        <v>3743</v>
      </c>
      <c r="V247" t="s">
        <v>3744</v>
      </c>
      <c r="W247" t="s">
        <v>3745</v>
      </c>
      <c r="X247" t="s">
        <v>3746</v>
      </c>
      <c r="Y247" t="s">
        <v>3747</v>
      </c>
      <c r="Z247" t="s">
        <v>74</v>
      </c>
      <c r="AA247" t="s">
        <v>3748</v>
      </c>
      <c r="AB247" t="s">
        <v>3749</v>
      </c>
      <c r="AC247" t="s">
        <v>74</v>
      </c>
      <c r="AD247" t="s">
        <v>74</v>
      </c>
      <c r="AE247" t="s">
        <v>74</v>
      </c>
      <c r="AF247" t="s">
        <v>74</v>
      </c>
      <c r="AG247">
        <v>57</v>
      </c>
      <c r="AH247">
        <v>3</v>
      </c>
      <c r="AI247">
        <v>3</v>
      </c>
      <c r="AJ247">
        <v>1</v>
      </c>
      <c r="AK247">
        <v>3</v>
      </c>
      <c r="AL247" t="s">
        <v>290</v>
      </c>
      <c r="AM247" t="s">
        <v>195</v>
      </c>
      <c r="AN247" t="s">
        <v>291</v>
      </c>
      <c r="AO247" t="s">
        <v>1033</v>
      </c>
      <c r="AP247" t="s">
        <v>74</v>
      </c>
      <c r="AQ247" t="s">
        <v>74</v>
      </c>
      <c r="AR247" t="s">
        <v>1034</v>
      </c>
      <c r="AS247" t="s">
        <v>1035</v>
      </c>
      <c r="AT247" t="s">
        <v>3598</v>
      </c>
      <c r="AU247">
        <v>2002</v>
      </c>
      <c r="AV247">
        <v>18</v>
      </c>
      <c r="AW247">
        <v>8</v>
      </c>
      <c r="AX247" t="s">
        <v>74</v>
      </c>
      <c r="AY247" t="s">
        <v>74</v>
      </c>
      <c r="AZ247" t="s">
        <v>74</v>
      </c>
      <c r="BA247" t="s">
        <v>74</v>
      </c>
      <c r="BB247">
        <v>661</v>
      </c>
      <c r="BC247">
        <v>673</v>
      </c>
      <c r="BD247" t="s">
        <v>74</v>
      </c>
      <c r="BE247" t="s">
        <v>3750</v>
      </c>
      <c r="BF247" t="str">
        <f>HYPERLINK("http://dx.doi.org/10.1007/s00382-001-0203-y","http://dx.doi.org/10.1007/s00382-001-0203-y")</f>
        <v>http://dx.doi.org/10.1007/s00382-001-0203-y</v>
      </c>
      <c r="BG247" t="s">
        <v>74</v>
      </c>
      <c r="BH247" t="s">
        <v>74</v>
      </c>
      <c r="BI247">
        <v>13</v>
      </c>
      <c r="BJ247" t="s">
        <v>403</v>
      </c>
      <c r="BK247" t="s">
        <v>170</v>
      </c>
      <c r="BL247" t="s">
        <v>403</v>
      </c>
      <c r="BM247" t="s">
        <v>3739</v>
      </c>
      <c r="BN247" t="s">
        <v>74</v>
      </c>
      <c r="BO247" t="s">
        <v>106</v>
      </c>
      <c r="BP247" t="s">
        <v>74</v>
      </c>
      <c r="BQ247" t="s">
        <v>74</v>
      </c>
      <c r="BR247" t="s">
        <v>107</v>
      </c>
      <c r="BS247" t="s">
        <v>3751</v>
      </c>
      <c r="BT247" t="str">
        <f>HYPERLINK("https%3A%2F%2Fwww.webofscience.com%2Fwos%2Fwoscc%2Ffull-record%2FWOS:000175791000003","View Full Record in Web of Science")</f>
        <v>View Full Record in Web of Science</v>
      </c>
    </row>
    <row r="248" spans="1:72" x14ac:dyDescent="0.15">
      <c r="A248" t="s">
        <v>72</v>
      </c>
      <c r="B248" t="s">
        <v>3752</v>
      </c>
      <c r="C248" t="s">
        <v>74</v>
      </c>
      <c r="D248" t="s">
        <v>74</v>
      </c>
      <c r="E248" t="s">
        <v>74</v>
      </c>
      <c r="F248" t="s">
        <v>3752</v>
      </c>
      <c r="G248" t="s">
        <v>74</v>
      </c>
      <c r="H248" t="s">
        <v>74</v>
      </c>
      <c r="I248" t="s">
        <v>3753</v>
      </c>
      <c r="J248" t="s">
        <v>3754</v>
      </c>
      <c r="K248" t="s">
        <v>74</v>
      </c>
      <c r="L248" t="s">
        <v>74</v>
      </c>
      <c r="M248" t="s">
        <v>77</v>
      </c>
      <c r="N248" t="s">
        <v>78</v>
      </c>
      <c r="O248" t="s">
        <v>3755</v>
      </c>
      <c r="P248" t="s">
        <v>3756</v>
      </c>
      <c r="Q248" t="s">
        <v>3757</v>
      </c>
      <c r="R248" t="s">
        <v>74</v>
      </c>
      <c r="S248" t="s">
        <v>3758</v>
      </c>
      <c r="T248" t="s">
        <v>3759</v>
      </c>
      <c r="U248" t="s">
        <v>3760</v>
      </c>
      <c r="V248" t="s">
        <v>3761</v>
      </c>
      <c r="W248" t="s">
        <v>3762</v>
      </c>
      <c r="X248" t="s">
        <v>3763</v>
      </c>
      <c r="Y248" t="s">
        <v>3764</v>
      </c>
      <c r="Z248" t="s">
        <v>3765</v>
      </c>
      <c r="AA248" t="s">
        <v>74</v>
      </c>
      <c r="AB248" t="s">
        <v>74</v>
      </c>
      <c r="AC248" t="s">
        <v>74</v>
      </c>
      <c r="AD248" t="s">
        <v>74</v>
      </c>
      <c r="AE248" t="s">
        <v>74</v>
      </c>
      <c r="AF248" t="s">
        <v>74</v>
      </c>
      <c r="AG248">
        <v>31</v>
      </c>
      <c r="AH248">
        <v>25</v>
      </c>
      <c r="AI248">
        <v>27</v>
      </c>
      <c r="AJ248">
        <v>0</v>
      </c>
      <c r="AK248">
        <v>37</v>
      </c>
      <c r="AL248" t="s">
        <v>1068</v>
      </c>
      <c r="AM248" t="s">
        <v>195</v>
      </c>
      <c r="AN248" t="s">
        <v>1069</v>
      </c>
      <c r="AO248" t="s">
        <v>1070</v>
      </c>
      <c r="AP248" t="s">
        <v>3766</v>
      </c>
      <c r="AQ248" t="s">
        <v>74</v>
      </c>
      <c r="AR248" t="s">
        <v>1071</v>
      </c>
      <c r="AS248" t="s">
        <v>1072</v>
      </c>
      <c r="AT248" t="s">
        <v>3598</v>
      </c>
      <c r="AU248">
        <v>2002</v>
      </c>
      <c r="AV248">
        <v>131</v>
      </c>
      <c r="AW248">
        <v>4</v>
      </c>
      <c r="AX248" t="s">
        <v>74</v>
      </c>
      <c r="AY248" t="s">
        <v>74</v>
      </c>
      <c r="AZ248" t="s">
        <v>74</v>
      </c>
      <c r="BA248" t="s">
        <v>74</v>
      </c>
      <c r="BB248">
        <v>765</v>
      </c>
      <c r="BC248">
        <v>773</v>
      </c>
      <c r="BD248" t="s">
        <v>3767</v>
      </c>
      <c r="BE248" t="s">
        <v>3768</v>
      </c>
      <c r="BF248" t="str">
        <f>HYPERLINK("http://dx.doi.org/10.1016/S1095-6433(02)00014-4","http://dx.doi.org/10.1016/S1095-6433(02)00014-4")</f>
        <v>http://dx.doi.org/10.1016/S1095-6433(02)00014-4</v>
      </c>
      <c r="BG248" t="s">
        <v>74</v>
      </c>
      <c r="BH248" t="s">
        <v>74</v>
      </c>
      <c r="BI248">
        <v>9</v>
      </c>
      <c r="BJ248" t="s">
        <v>1075</v>
      </c>
      <c r="BK248" t="s">
        <v>103</v>
      </c>
      <c r="BL248" t="s">
        <v>1075</v>
      </c>
      <c r="BM248" t="s">
        <v>3769</v>
      </c>
      <c r="BN248">
        <v>11897187</v>
      </c>
      <c r="BO248" t="s">
        <v>74</v>
      </c>
      <c r="BP248" t="s">
        <v>74</v>
      </c>
      <c r="BQ248" t="s">
        <v>74</v>
      </c>
      <c r="BR248" t="s">
        <v>107</v>
      </c>
      <c r="BS248" t="s">
        <v>3770</v>
      </c>
      <c r="BT248" t="str">
        <f>HYPERLINK("https%3A%2F%2Fwww.webofscience.com%2Fwos%2Fwoscc%2Ffull-record%2FWOS:000174594600008","View Full Record in Web of Science")</f>
        <v>View Full Record in Web of Science</v>
      </c>
    </row>
    <row r="249" spans="1:72" x14ac:dyDescent="0.15">
      <c r="A249" t="s">
        <v>72</v>
      </c>
      <c r="B249" t="s">
        <v>3771</v>
      </c>
      <c r="C249" t="s">
        <v>74</v>
      </c>
      <c r="D249" t="s">
        <v>74</v>
      </c>
      <c r="E249" t="s">
        <v>74</v>
      </c>
      <c r="F249" t="s">
        <v>3771</v>
      </c>
      <c r="G249" t="s">
        <v>74</v>
      </c>
      <c r="H249" t="s">
        <v>74</v>
      </c>
      <c r="I249" t="s">
        <v>3772</v>
      </c>
      <c r="J249" t="s">
        <v>3773</v>
      </c>
      <c r="K249" t="s">
        <v>74</v>
      </c>
      <c r="L249" t="s">
        <v>74</v>
      </c>
      <c r="M249" t="s">
        <v>77</v>
      </c>
      <c r="N249" t="s">
        <v>78</v>
      </c>
      <c r="O249" t="s">
        <v>3774</v>
      </c>
      <c r="P249" t="s">
        <v>3775</v>
      </c>
      <c r="Q249" t="s">
        <v>3776</v>
      </c>
      <c r="R249" t="s">
        <v>74</v>
      </c>
      <c r="S249" t="s">
        <v>74</v>
      </c>
      <c r="T249" t="s">
        <v>3777</v>
      </c>
      <c r="U249" t="s">
        <v>3778</v>
      </c>
      <c r="V249" t="s">
        <v>3779</v>
      </c>
      <c r="W249" t="s">
        <v>3780</v>
      </c>
      <c r="X249" t="s">
        <v>3781</v>
      </c>
      <c r="Y249" t="s">
        <v>3782</v>
      </c>
      <c r="Z249" t="s">
        <v>3783</v>
      </c>
      <c r="AA249" t="s">
        <v>3784</v>
      </c>
      <c r="AB249" t="s">
        <v>3785</v>
      </c>
      <c r="AC249" t="s">
        <v>74</v>
      </c>
      <c r="AD249" t="s">
        <v>74</v>
      </c>
      <c r="AE249" t="s">
        <v>74</v>
      </c>
      <c r="AF249" t="s">
        <v>74</v>
      </c>
      <c r="AG249">
        <v>137</v>
      </c>
      <c r="AH249">
        <v>116</v>
      </c>
      <c r="AI249">
        <v>125</v>
      </c>
      <c r="AJ249">
        <v>2</v>
      </c>
      <c r="AK249">
        <v>66</v>
      </c>
      <c r="AL249" t="s">
        <v>1068</v>
      </c>
      <c r="AM249" t="s">
        <v>195</v>
      </c>
      <c r="AN249" t="s">
        <v>1741</v>
      </c>
      <c r="AO249" t="s">
        <v>3786</v>
      </c>
      <c r="AP249" t="s">
        <v>3787</v>
      </c>
      <c r="AQ249" t="s">
        <v>74</v>
      </c>
      <c r="AR249" t="s">
        <v>3788</v>
      </c>
      <c r="AS249" t="s">
        <v>3789</v>
      </c>
      <c r="AT249" t="s">
        <v>3598</v>
      </c>
      <c r="AU249">
        <v>2002</v>
      </c>
      <c r="AV249">
        <v>131</v>
      </c>
      <c r="AW249">
        <v>4</v>
      </c>
      <c r="AX249" t="s">
        <v>74</v>
      </c>
      <c r="AY249" t="s">
        <v>74</v>
      </c>
      <c r="AZ249" t="s">
        <v>74</v>
      </c>
      <c r="BA249" t="s">
        <v>74</v>
      </c>
      <c r="BB249">
        <v>587</v>
      </c>
      <c r="BC249">
        <v>602</v>
      </c>
      <c r="BD249" t="s">
        <v>3790</v>
      </c>
      <c r="BE249" t="s">
        <v>3791</v>
      </c>
      <c r="BF249" t="str">
        <f>HYPERLINK("http://dx.doi.org/10.1016/S1096-4959(02)00017-9","http://dx.doi.org/10.1016/S1096-4959(02)00017-9")</f>
        <v>http://dx.doi.org/10.1016/S1096-4959(02)00017-9</v>
      </c>
      <c r="BG249" t="s">
        <v>74</v>
      </c>
      <c r="BH249" t="s">
        <v>74</v>
      </c>
      <c r="BI249">
        <v>16</v>
      </c>
      <c r="BJ249" t="s">
        <v>3792</v>
      </c>
      <c r="BK249" t="s">
        <v>103</v>
      </c>
      <c r="BL249" t="s">
        <v>3792</v>
      </c>
      <c r="BM249" t="s">
        <v>3793</v>
      </c>
      <c r="BN249">
        <v>11923075</v>
      </c>
      <c r="BO249" t="s">
        <v>74</v>
      </c>
      <c r="BP249" t="s">
        <v>74</v>
      </c>
      <c r="BQ249" t="s">
        <v>74</v>
      </c>
      <c r="BR249" t="s">
        <v>107</v>
      </c>
      <c r="BS249" t="s">
        <v>3794</v>
      </c>
      <c r="BT249" t="str">
        <f>HYPERLINK("https%3A%2F%2Fwww.webofscience.com%2Fwos%2Fwoscc%2Ffull-record%2FWOS:000174908100003","View Full Record in Web of Science")</f>
        <v>View Full Record in Web of Science</v>
      </c>
    </row>
    <row r="250" spans="1:72" x14ac:dyDescent="0.15">
      <c r="A250" t="s">
        <v>72</v>
      </c>
      <c r="B250" t="s">
        <v>3795</v>
      </c>
      <c r="C250" t="s">
        <v>74</v>
      </c>
      <c r="D250" t="s">
        <v>74</v>
      </c>
      <c r="E250" t="s">
        <v>74</v>
      </c>
      <c r="F250" t="s">
        <v>3795</v>
      </c>
      <c r="G250" t="s">
        <v>74</v>
      </c>
      <c r="H250" t="s">
        <v>74</v>
      </c>
      <c r="I250" t="s">
        <v>3796</v>
      </c>
      <c r="J250" t="s">
        <v>3773</v>
      </c>
      <c r="K250" t="s">
        <v>74</v>
      </c>
      <c r="L250" t="s">
        <v>74</v>
      </c>
      <c r="M250" t="s">
        <v>77</v>
      </c>
      <c r="N250" t="s">
        <v>153</v>
      </c>
      <c r="O250" t="s">
        <v>74</v>
      </c>
      <c r="P250" t="s">
        <v>74</v>
      </c>
      <c r="Q250" t="s">
        <v>74</v>
      </c>
      <c r="R250" t="s">
        <v>74</v>
      </c>
      <c r="S250" t="s">
        <v>74</v>
      </c>
      <c r="T250" t="s">
        <v>3797</v>
      </c>
      <c r="U250" t="s">
        <v>3798</v>
      </c>
      <c r="V250" t="s">
        <v>3799</v>
      </c>
      <c r="W250" t="s">
        <v>3800</v>
      </c>
      <c r="X250" t="s">
        <v>3801</v>
      </c>
      <c r="Y250" t="s">
        <v>3802</v>
      </c>
      <c r="Z250" t="s">
        <v>74</v>
      </c>
      <c r="AA250" t="s">
        <v>3803</v>
      </c>
      <c r="AB250" t="s">
        <v>3804</v>
      </c>
      <c r="AC250" t="s">
        <v>74</v>
      </c>
      <c r="AD250" t="s">
        <v>74</v>
      </c>
      <c r="AE250" t="s">
        <v>74</v>
      </c>
      <c r="AF250" t="s">
        <v>74</v>
      </c>
      <c r="AG250">
        <v>74</v>
      </c>
      <c r="AH250">
        <v>95</v>
      </c>
      <c r="AI250">
        <v>129</v>
      </c>
      <c r="AJ250">
        <v>3</v>
      </c>
      <c r="AK250">
        <v>31</v>
      </c>
      <c r="AL250" t="s">
        <v>1013</v>
      </c>
      <c r="AM250" t="s">
        <v>895</v>
      </c>
      <c r="AN250" t="s">
        <v>1014</v>
      </c>
      <c r="AO250" t="s">
        <v>3786</v>
      </c>
      <c r="AP250" t="s">
        <v>74</v>
      </c>
      <c r="AQ250" t="s">
        <v>74</v>
      </c>
      <c r="AR250" t="s">
        <v>3788</v>
      </c>
      <c r="AS250" t="s">
        <v>3789</v>
      </c>
      <c r="AT250" t="s">
        <v>3598</v>
      </c>
      <c r="AU250">
        <v>2002</v>
      </c>
      <c r="AV250">
        <v>131</v>
      </c>
      <c r="AW250">
        <v>4</v>
      </c>
      <c r="AX250" t="s">
        <v>74</v>
      </c>
      <c r="AY250" t="s">
        <v>74</v>
      </c>
      <c r="AZ250" t="s">
        <v>74</v>
      </c>
      <c r="BA250" t="s">
        <v>74</v>
      </c>
      <c r="BB250">
        <v>733</v>
      </c>
      <c r="BC250">
        <v>747</v>
      </c>
      <c r="BD250" t="s">
        <v>3805</v>
      </c>
      <c r="BE250" t="s">
        <v>3806</v>
      </c>
      <c r="BF250" t="str">
        <f>HYPERLINK("http://dx.doi.org/10.1016/S1096-4959(02)00021-0","http://dx.doi.org/10.1016/S1096-4959(02)00021-0")</f>
        <v>http://dx.doi.org/10.1016/S1096-4959(02)00021-0</v>
      </c>
      <c r="BG250" t="s">
        <v>74</v>
      </c>
      <c r="BH250" t="s">
        <v>74</v>
      </c>
      <c r="BI250">
        <v>15</v>
      </c>
      <c r="BJ250" t="s">
        <v>3792</v>
      </c>
      <c r="BK250" t="s">
        <v>170</v>
      </c>
      <c r="BL250" t="s">
        <v>3792</v>
      </c>
      <c r="BM250" t="s">
        <v>3793</v>
      </c>
      <c r="BN250">
        <v>11923086</v>
      </c>
      <c r="BO250" t="s">
        <v>74</v>
      </c>
      <c r="BP250" t="s">
        <v>74</v>
      </c>
      <c r="BQ250" t="s">
        <v>74</v>
      </c>
      <c r="BR250" t="s">
        <v>107</v>
      </c>
      <c r="BS250" t="s">
        <v>3807</v>
      </c>
      <c r="BT250" t="str">
        <f>HYPERLINK("https%3A%2F%2Fwww.webofscience.com%2Fwos%2Fwoscc%2Ffull-record%2FWOS:000174908100014","View Full Record in Web of Science")</f>
        <v>View Full Record in Web of Science</v>
      </c>
    </row>
    <row r="251" spans="1:72" x14ac:dyDescent="0.15">
      <c r="A251" t="s">
        <v>72</v>
      </c>
      <c r="B251" t="s">
        <v>3808</v>
      </c>
      <c r="C251" t="s">
        <v>74</v>
      </c>
      <c r="D251" t="s">
        <v>74</v>
      </c>
      <c r="E251" t="s">
        <v>74</v>
      </c>
      <c r="F251" t="s">
        <v>3808</v>
      </c>
      <c r="G251" t="s">
        <v>74</v>
      </c>
      <c r="H251" t="s">
        <v>74</v>
      </c>
      <c r="I251" t="s">
        <v>3809</v>
      </c>
      <c r="J251" t="s">
        <v>3810</v>
      </c>
      <c r="K251" t="s">
        <v>74</v>
      </c>
      <c r="L251" t="s">
        <v>74</v>
      </c>
      <c r="M251" t="s">
        <v>77</v>
      </c>
      <c r="N251" t="s">
        <v>153</v>
      </c>
      <c r="O251" t="s">
        <v>74</v>
      </c>
      <c r="P251" t="s">
        <v>74</v>
      </c>
      <c r="Q251" t="s">
        <v>74</v>
      </c>
      <c r="R251" t="s">
        <v>74</v>
      </c>
      <c r="S251" t="s">
        <v>74</v>
      </c>
      <c r="T251" t="s">
        <v>74</v>
      </c>
      <c r="U251" t="s">
        <v>3811</v>
      </c>
      <c r="V251" t="s">
        <v>3812</v>
      </c>
      <c r="W251" t="s">
        <v>3813</v>
      </c>
      <c r="X251" t="s">
        <v>3814</v>
      </c>
      <c r="Y251" t="s">
        <v>3815</v>
      </c>
      <c r="Z251" t="s">
        <v>74</v>
      </c>
      <c r="AA251" t="s">
        <v>3816</v>
      </c>
      <c r="AB251" t="s">
        <v>3817</v>
      </c>
      <c r="AC251" t="s">
        <v>74</v>
      </c>
      <c r="AD251" t="s">
        <v>74</v>
      </c>
      <c r="AE251" t="s">
        <v>74</v>
      </c>
      <c r="AF251" t="s">
        <v>74</v>
      </c>
      <c r="AG251">
        <v>64</v>
      </c>
      <c r="AH251">
        <v>149</v>
      </c>
      <c r="AI251">
        <v>159</v>
      </c>
      <c r="AJ251">
        <v>0</v>
      </c>
      <c r="AK251">
        <v>23</v>
      </c>
      <c r="AL251" t="s">
        <v>290</v>
      </c>
      <c r="AM251" t="s">
        <v>195</v>
      </c>
      <c r="AN251" t="s">
        <v>291</v>
      </c>
      <c r="AO251" t="s">
        <v>3818</v>
      </c>
      <c r="AP251" t="s">
        <v>74</v>
      </c>
      <c r="AQ251" t="s">
        <v>74</v>
      </c>
      <c r="AR251" t="s">
        <v>3819</v>
      </c>
      <c r="AS251" t="s">
        <v>3820</v>
      </c>
      <c r="AT251" t="s">
        <v>3598</v>
      </c>
      <c r="AU251">
        <v>2002</v>
      </c>
      <c r="AV251">
        <v>143</v>
      </c>
      <c r="AW251">
        <v>1</v>
      </c>
      <c r="AX251" t="s">
        <v>74</v>
      </c>
      <c r="AY251" t="s">
        <v>74</v>
      </c>
      <c r="AZ251" t="s">
        <v>74</v>
      </c>
      <c r="BA251" t="s">
        <v>74</v>
      </c>
      <c r="BB251">
        <v>1</v>
      </c>
      <c r="BC251">
        <v>18</v>
      </c>
      <c r="BD251" t="s">
        <v>74</v>
      </c>
      <c r="BE251" t="s">
        <v>3821</v>
      </c>
      <c r="BF251" t="str">
        <f>HYPERLINK("http://dx.doi.org/10.1007/s00410-001-0329-2","http://dx.doi.org/10.1007/s00410-001-0329-2")</f>
        <v>http://dx.doi.org/10.1007/s00410-001-0329-2</v>
      </c>
      <c r="BG251" t="s">
        <v>74</v>
      </c>
      <c r="BH251" t="s">
        <v>74</v>
      </c>
      <c r="BI251">
        <v>18</v>
      </c>
      <c r="BJ251" t="s">
        <v>3822</v>
      </c>
      <c r="BK251" t="s">
        <v>170</v>
      </c>
      <c r="BL251" t="s">
        <v>3822</v>
      </c>
      <c r="BM251" t="s">
        <v>3823</v>
      </c>
      <c r="BN251" t="s">
        <v>74</v>
      </c>
      <c r="BO251" t="s">
        <v>74</v>
      </c>
      <c r="BP251" t="s">
        <v>74</v>
      </c>
      <c r="BQ251" t="s">
        <v>74</v>
      </c>
      <c r="BR251" t="s">
        <v>107</v>
      </c>
      <c r="BS251" t="s">
        <v>3824</v>
      </c>
      <c r="BT251" t="str">
        <f>HYPERLINK("https%3A%2F%2Fwww.webofscience.com%2Fwos%2Fwoscc%2Ffull-record%2FWOS:000175208100001","View Full Record in Web of Science")</f>
        <v>View Full Record in Web of Science</v>
      </c>
    </row>
    <row r="252" spans="1:72" x14ac:dyDescent="0.15">
      <c r="A252" t="s">
        <v>72</v>
      </c>
      <c r="B252" t="s">
        <v>3825</v>
      </c>
      <c r="C252" t="s">
        <v>74</v>
      </c>
      <c r="D252" t="s">
        <v>74</v>
      </c>
      <c r="E252" t="s">
        <v>74</v>
      </c>
      <c r="F252" t="s">
        <v>3825</v>
      </c>
      <c r="G252" t="s">
        <v>74</v>
      </c>
      <c r="H252" t="s">
        <v>74</v>
      </c>
      <c r="I252" t="s">
        <v>3826</v>
      </c>
      <c r="J252" t="s">
        <v>1139</v>
      </c>
      <c r="K252" t="s">
        <v>74</v>
      </c>
      <c r="L252" t="s">
        <v>74</v>
      </c>
      <c r="M252" t="s">
        <v>77</v>
      </c>
      <c r="N252" t="s">
        <v>153</v>
      </c>
      <c r="O252" t="s">
        <v>74</v>
      </c>
      <c r="P252" t="s">
        <v>74</v>
      </c>
      <c r="Q252" t="s">
        <v>74</v>
      </c>
      <c r="R252" t="s">
        <v>74</v>
      </c>
      <c r="S252" t="s">
        <v>74</v>
      </c>
      <c r="T252" t="s">
        <v>3827</v>
      </c>
      <c r="U252" t="s">
        <v>3828</v>
      </c>
      <c r="V252" t="s">
        <v>3829</v>
      </c>
      <c r="W252" t="s">
        <v>3830</v>
      </c>
      <c r="X252" t="s">
        <v>3831</v>
      </c>
      <c r="Y252" t="s">
        <v>3832</v>
      </c>
      <c r="Z252" t="s">
        <v>3833</v>
      </c>
      <c r="AA252" t="s">
        <v>3834</v>
      </c>
      <c r="AB252" t="s">
        <v>3835</v>
      </c>
      <c r="AC252" t="s">
        <v>74</v>
      </c>
      <c r="AD252" t="s">
        <v>74</v>
      </c>
      <c r="AE252" t="s">
        <v>74</v>
      </c>
      <c r="AF252" t="s">
        <v>74</v>
      </c>
      <c r="AG252">
        <v>86</v>
      </c>
      <c r="AH252">
        <v>73</v>
      </c>
      <c r="AI252">
        <v>79</v>
      </c>
      <c r="AJ252">
        <v>3</v>
      </c>
      <c r="AK252">
        <v>31</v>
      </c>
      <c r="AL252" t="s">
        <v>1013</v>
      </c>
      <c r="AM252" t="s">
        <v>895</v>
      </c>
      <c r="AN252" t="s">
        <v>1014</v>
      </c>
      <c r="AO252" t="s">
        <v>1149</v>
      </c>
      <c r="AP252" t="s">
        <v>74</v>
      </c>
      <c r="AQ252" t="s">
        <v>74</v>
      </c>
      <c r="AR252" t="s">
        <v>1151</v>
      </c>
      <c r="AS252" t="s">
        <v>1152</v>
      </c>
      <c r="AT252" t="s">
        <v>3598</v>
      </c>
      <c r="AU252">
        <v>2002</v>
      </c>
      <c r="AV252">
        <v>49</v>
      </c>
      <c r="AW252">
        <v>4</v>
      </c>
      <c r="AX252" t="s">
        <v>74</v>
      </c>
      <c r="AY252" t="s">
        <v>74</v>
      </c>
      <c r="AZ252" t="s">
        <v>74</v>
      </c>
      <c r="BA252" t="s">
        <v>74</v>
      </c>
      <c r="BB252">
        <v>605</v>
      </c>
      <c r="BC252">
        <v>636</v>
      </c>
      <c r="BD252" t="s">
        <v>3836</v>
      </c>
      <c r="BE252" t="s">
        <v>3837</v>
      </c>
      <c r="BF252" t="str">
        <f>HYPERLINK("http://dx.doi.org/10.1016/S0967-0637(01)00061-9","http://dx.doi.org/10.1016/S0967-0637(01)00061-9")</f>
        <v>http://dx.doi.org/10.1016/S0967-0637(01)00061-9</v>
      </c>
      <c r="BG252" t="s">
        <v>74</v>
      </c>
      <c r="BH252" t="s">
        <v>74</v>
      </c>
      <c r="BI252">
        <v>32</v>
      </c>
      <c r="BJ252" t="s">
        <v>1155</v>
      </c>
      <c r="BK252" t="s">
        <v>170</v>
      </c>
      <c r="BL252" t="s">
        <v>1155</v>
      </c>
      <c r="BM252" t="s">
        <v>3838</v>
      </c>
      <c r="BN252" t="s">
        <v>74</v>
      </c>
      <c r="BO252" t="s">
        <v>74</v>
      </c>
      <c r="BP252" t="s">
        <v>74</v>
      </c>
      <c r="BQ252" t="s">
        <v>74</v>
      </c>
      <c r="BR252" t="s">
        <v>107</v>
      </c>
      <c r="BS252" t="s">
        <v>3839</v>
      </c>
      <c r="BT252" t="str">
        <f>HYPERLINK("https%3A%2F%2Fwww.webofscience.com%2Fwos%2Fwoscc%2Ffull-record%2FWOS:000174868000001","View Full Record in Web of Science")</f>
        <v>View Full Record in Web of Science</v>
      </c>
    </row>
    <row r="253" spans="1:72" x14ac:dyDescent="0.15">
      <c r="A253" t="s">
        <v>72</v>
      </c>
      <c r="B253" t="s">
        <v>3840</v>
      </c>
      <c r="C253" t="s">
        <v>74</v>
      </c>
      <c r="D253" t="s">
        <v>74</v>
      </c>
      <c r="E253" t="s">
        <v>74</v>
      </c>
      <c r="F253" t="s">
        <v>3840</v>
      </c>
      <c r="G253" t="s">
        <v>74</v>
      </c>
      <c r="H253" t="s">
        <v>74</v>
      </c>
      <c r="I253" t="s">
        <v>3841</v>
      </c>
      <c r="J253" t="s">
        <v>1139</v>
      </c>
      <c r="K253" t="s">
        <v>74</v>
      </c>
      <c r="L253" t="s">
        <v>74</v>
      </c>
      <c r="M253" t="s">
        <v>77</v>
      </c>
      <c r="N253" t="s">
        <v>153</v>
      </c>
      <c r="O253" t="s">
        <v>74</v>
      </c>
      <c r="P253" t="s">
        <v>74</v>
      </c>
      <c r="Q253" t="s">
        <v>74</v>
      </c>
      <c r="R253" t="s">
        <v>74</v>
      </c>
      <c r="S253" t="s">
        <v>74</v>
      </c>
      <c r="T253" t="s">
        <v>3842</v>
      </c>
      <c r="U253" t="s">
        <v>3843</v>
      </c>
      <c r="V253" t="s">
        <v>3844</v>
      </c>
      <c r="W253" t="s">
        <v>3845</v>
      </c>
      <c r="X253" t="s">
        <v>3846</v>
      </c>
      <c r="Y253" t="s">
        <v>3847</v>
      </c>
      <c r="Z253" t="s">
        <v>74</v>
      </c>
      <c r="AA253" t="s">
        <v>1704</v>
      </c>
      <c r="AB253" t="s">
        <v>1705</v>
      </c>
      <c r="AC253" t="s">
        <v>74</v>
      </c>
      <c r="AD253" t="s">
        <v>74</v>
      </c>
      <c r="AE253" t="s">
        <v>74</v>
      </c>
      <c r="AF253" t="s">
        <v>74</v>
      </c>
      <c r="AG253">
        <v>35</v>
      </c>
      <c r="AH253">
        <v>148</v>
      </c>
      <c r="AI253">
        <v>153</v>
      </c>
      <c r="AJ253">
        <v>1</v>
      </c>
      <c r="AK253">
        <v>27</v>
      </c>
      <c r="AL253" t="s">
        <v>1013</v>
      </c>
      <c r="AM253" t="s">
        <v>895</v>
      </c>
      <c r="AN253" t="s">
        <v>1014</v>
      </c>
      <c r="AO253" t="s">
        <v>1149</v>
      </c>
      <c r="AP253" t="s">
        <v>74</v>
      </c>
      <c r="AQ253" t="s">
        <v>74</v>
      </c>
      <c r="AR253" t="s">
        <v>1151</v>
      </c>
      <c r="AS253" t="s">
        <v>1152</v>
      </c>
      <c r="AT253" t="s">
        <v>3598</v>
      </c>
      <c r="AU253">
        <v>2002</v>
      </c>
      <c r="AV253">
        <v>49</v>
      </c>
      <c r="AW253">
        <v>4</v>
      </c>
      <c r="AX253" t="s">
        <v>74</v>
      </c>
      <c r="AY253" t="s">
        <v>74</v>
      </c>
      <c r="AZ253" t="s">
        <v>74</v>
      </c>
      <c r="BA253" t="s">
        <v>74</v>
      </c>
      <c r="BB253">
        <v>681</v>
      </c>
      <c r="BC253">
        <v>705</v>
      </c>
      <c r="BD253" t="s">
        <v>3848</v>
      </c>
      <c r="BE253" t="s">
        <v>74</v>
      </c>
      <c r="BF253" t="s">
        <v>74</v>
      </c>
      <c r="BG253" t="s">
        <v>74</v>
      </c>
      <c r="BH253" t="s">
        <v>74</v>
      </c>
      <c r="BI253">
        <v>25</v>
      </c>
      <c r="BJ253" t="s">
        <v>1155</v>
      </c>
      <c r="BK253" t="s">
        <v>170</v>
      </c>
      <c r="BL253" t="s">
        <v>1155</v>
      </c>
      <c r="BM253" t="s">
        <v>3838</v>
      </c>
      <c r="BN253" t="s">
        <v>74</v>
      </c>
      <c r="BO253" t="s">
        <v>74</v>
      </c>
      <c r="BP253" t="s">
        <v>74</v>
      </c>
      <c r="BQ253" t="s">
        <v>74</v>
      </c>
      <c r="BR253" t="s">
        <v>107</v>
      </c>
      <c r="BS253" t="s">
        <v>3849</v>
      </c>
      <c r="BT253" t="str">
        <f>HYPERLINK("https%3A%2F%2Fwww.webofscience.com%2Fwos%2Fwoscc%2Ffull-record%2FWOS:000174868000004","View Full Record in Web of Science")</f>
        <v>View Full Record in Web of Science</v>
      </c>
    </row>
    <row r="254" spans="1:72" x14ac:dyDescent="0.15">
      <c r="A254" t="s">
        <v>72</v>
      </c>
      <c r="B254" t="s">
        <v>3850</v>
      </c>
      <c r="C254" t="s">
        <v>74</v>
      </c>
      <c r="D254" t="s">
        <v>74</v>
      </c>
      <c r="E254" t="s">
        <v>74</v>
      </c>
      <c r="F254" t="s">
        <v>3850</v>
      </c>
      <c r="G254" t="s">
        <v>74</v>
      </c>
      <c r="H254" t="s">
        <v>74</v>
      </c>
      <c r="I254" t="s">
        <v>3851</v>
      </c>
      <c r="J254" t="s">
        <v>1139</v>
      </c>
      <c r="K254" t="s">
        <v>74</v>
      </c>
      <c r="L254" t="s">
        <v>74</v>
      </c>
      <c r="M254" t="s">
        <v>77</v>
      </c>
      <c r="N254" t="s">
        <v>153</v>
      </c>
      <c r="O254" t="s">
        <v>74</v>
      </c>
      <c r="P254" t="s">
        <v>74</v>
      </c>
      <c r="Q254" t="s">
        <v>74</v>
      </c>
      <c r="R254" t="s">
        <v>74</v>
      </c>
      <c r="S254" t="s">
        <v>74</v>
      </c>
      <c r="T254" t="s">
        <v>3852</v>
      </c>
      <c r="U254" t="s">
        <v>3853</v>
      </c>
      <c r="V254" t="s">
        <v>3854</v>
      </c>
      <c r="W254" t="s">
        <v>3855</v>
      </c>
      <c r="X254" t="s">
        <v>3856</v>
      </c>
      <c r="Y254" t="s">
        <v>3857</v>
      </c>
      <c r="Z254" t="s">
        <v>3858</v>
      </c>
      <c r="AA254" t="s">
        <v>74</v>
      </c>
      <c r="AB254" t="s">
        <v>74</v>
      </c>
      <c r="AC254" t="s">
        <v>74</v>
      </c>
      <c r="AD254" t="s">
        <v>74</v>
      </c>
      <c r="AE254" t="s">
        <v>74</v>
      </c>
      <c r="AF254" t="s">
        <v>74</v>
      </c>
      <c r="AG254">
        <v>25</v>
      </c>
      <c r="AH254">
        <v>28</v>
      </c>
      <c r="AI254">
        <v>34</v>
      </c>
      <c r="AJ254">
        <v>0</v>
      </c>
      <c r="AK254">
        <v>14</v>
      </c>
      <c r="AL254" t="s">
        <v>1013</v>
      </c>
      <c r="AM254" t="s">
        <v>895</v>
      </c>
      <c r="AN254" t="s">
        <v>1014</v>
      </c>
      <c r="AO254" t="s">
        <v>1149</v>
      </c>
      <c r="AP254" t="s">
        <v>1150</v>
      </c>
      <c r="AQ254" t="s">
        <v>74</v>
      </c>
      <c r="AR254" t="s">
        <v>1151</v>
      </c>
      <c r="AS254" t="s">
        <v>1152</v>
      </c>
      <c r="AT254" t="s">
        <v>3598</v>
      </c>
      <c r="AU254">
        <v>2002</v>
      </c>
      <c r="AV254">
        <v>49</v>
      </c>
      <c r="AW254">
        <v>4</v>
      </c>
      <c r="AX254" t="s">
        <v>74</v>
      </c>
      <c r="AY254" t="s">
        <v>74</v>
      </c>
      <c r="AZ254" t="s">
        <v>74</v>
      </c>
      <c r="BA254" t="s">
        <v>74</v>
      </c>
      <c r="BB254">
        <v>735</v>
      </c>
      <c r="BC254">
        <v>749</v>
      </c>
      <c r="BD254" t="s">
        <v>3859</v>
      </c>
      <c r="BE254" t="s">
        <v>3860</v>
      </c>
      <c r="BF254" t="str">
        <f>HYPERLINK("http://dx.doi.org/10.1016/S0967-0637(01)00076-0","http://dx.doi.org/10.1016/S0967-0637(01)00076-0")</f>
        <v>http://dx.doi.org/10.1016/S0967-0637(01)00076-0</v>
      </c>
      <c r="BG254" t="s">
        <v>74</v>
      </c>
      <c r="BH254" t="s">
        <v>74</v>
      </c>
      <c r="BI254">
        <v>15</v>
      </c>
      <c r="BJ254" t="s">
        <v>1155</v>
      </c>
      <c r="BK254" t="s">
        <v>170</v>
      </c>
      <c r="BL254" t="s">
        <v>1155</v>
      </c>
      <c r="BM254" t="s">
        <v>3838</v>
      </c>
      <c r="BN254" t="s">
        <v>74</v>
      </c>
      <c r="BO254" t="s">
        <v>74</v>
      </c>
      <c r="BP254" t="s">
        <v>74</v>
      </c>
      <c r="BQ254" t="s">
        <v>74</v>
      </c>
      <c r="BR254" t="s">
        <v>107</v>
      </c>
      <c r="BS254" t="s">
        <v>3861</v>
      </c>
      <c r="BT254" t="str">
        <f>HYPERLINK("https%3A%2F%2Fwww.webofscience.com%2Fwos%2Fwoscc%2Ffull-record%2FWOS:000174868000006","View Full Record in Web of Science")</f>
        <v>View Full Record in Web of Science</v>
      </c>
    </row>
    <row r="255" spans="1:72" x14ac:dyDescent="0.15">
      <c r="A255" t="s">
        <v>72</v>
      </c>
      <c r="B255" t="s">
        <v>3862</v>
      </c>
      <c r="C255" t="s">
        <v>74</v>
      </c>
      <c r="D255" t="s">
        <v>74</v>
      </c>
      <c r="E255" t="s">
        <v>74</v>
      </c>
      <c r="F255" t="s">
        <v>3862</v>
      </c>
      <c r="G255" t="s">
        <v>74</v>
      </c>
      <c r="H255" t="s">
        <v>74</v>
      </c>
      <c r="I255" t="s">
        <v>3863</v>
      </c>
      <c r="J255" t="s">
        <v>3864</v>
      </c>
      <c r="K255" t="s">
        <v>74</v>
      </c>
      <c r="L255" t="s">
        <v>74</v>
      </c>
      <c r="M255" t="s">
        <v>77</v>
      </c>
      <c r="N255" t="s">
        <v>153</v>
      </c>
      <c r="O255" t="s">
        <v>74</v>
      </c>
      <c r="P255" t="s">
        <v>74</v>
      </c>
      <c r="Q255" t="s">
        <v>74</v>
      </c>
      <c r="R255" t="s">
        <v>74</v>
      </c>
      <c r="S255" t="s">
        <v>74</v>
      </c>
      <c r="T255" t="s">
        <v>3865</v>
      </c>
      <c r="U255" t="s">
        <v>3866</v>
      </c>
      <c r="V255" t="s">
        <v>3867</v>
      </c>
      <c r="W255" t="s">
        <v>3868</v>
      </c>
      <c r="X255" t="s">
        <v>3869</v>
      </c>
      <c r="Y255" t="s">
        <v>3870</v>
      </c>
      <c r="Z255" t="s">
        <v>3871</v>
      </c>
      <c r="AA255" t="s">
        <v>3872</v>
      </c>
      <c r="AB255" t="s">
        <v>3873</v>
      </c>
      <c r="AC255" t="s">
        <v>74</v>
      </c>
      <c r="AD255" t="s">
        <v>74</v>
      </c>
      <c r="AE255" t="s">
        <v>74</v>
      </c>
      <c r="AF255" t="s">
        <v>74</v>
      </c>
      <c r="AG255">
        <v>45</v>
      </c>
      <c r="AH255">
        <v>44</v>
      </c>
      <c r="AI255">
        <v>47</v>
      </c>
      <c r="AJ255">
        <v>0</v>
      </c>
      <c r="AK255">
        <v>21</v>
      </c>
      <c r="AL255" t="s">
        <v>194</v>
      </c>
      <c r="AM255" t="s">
        <v>195</v>
      </c>
      <c r="AN255" t="s">
        <v>271</v>
      </c>
      <c r="AO255" t="s">
        <v>3874</v>
      </c>
      <c r="AP255" t="s">
        <v>3875</v>
      </c>
      <c r="AQ255" t="s">
        <v>74</v>
      </c>
      <c r="AR255" t="s">
        <v>3864</v>
      </c>
      <c r="AS255" t="s">
        <v>3876</v>
      </c>
      <c r="AT255" t="s">
        <v>3598</v>
      </c>
      <c r="AU255">
        <v>2002</v>
      </c>
      <c r="AV255">
        <v>5</v>
      </c>
      <c r="AW255">
        <v>3</v>
      </c>
      <c r="AX255" t="s">
        <v>74</v>
      </c>
      <c r="AY255" t="s">
        <v>74</v>
      </c>
      <c r="AZ255" t="s">
        <v>74</v>
      </c>
      <c r="BA255" t="s">
        <v>74</v>
      </c>
      <c r="BB255">
        <v>289</v>
      </c>
      <c r="BC255">
        <v>299</v>
      </c>
      <c r="BD255" t="s">
        <v>74</v>
      </c>
      <c r="BE255" t="s">
        <v>3877</v>
      </c>
      <c r="BF255" t="str">
        <f>HYPERLINK("http://dx.doi.org/10.1007/s10021-001-0072-6","http://dx.doi.org/10.1007/s10021-001-0072-6")</f>
        <v>http://dx.doi.org/10.1007/s10021-001-0072-6</v>
      </c>
      <c r="BG255" t="s">
        <v>74</v>
      </c>
      <c r="BH255" t="s">
        <v>74</v>
      </c>
      <c r="BI255">
        <v>11</v>
      </c>
      <c r="BJ255" t="s">
        <v>3878</v>
      </c>
      <c r="BK255" t="s">
        <v>170</v>
      </c>
      <c r="BL255" t="s">
        <v>1020</v>
      </c>
      <c r="BM255" t="s">
        <v>3879</v>
      </c>
      <c r="BN255" t="s">
        <v>74</v>
      </c>
      <c r="BO255" t="s">
        <v>74</v>
      </c>
      <c r="BP255" t="s">
        <v>74</v>
      </c>
      <c r="BQ255" t="s">
        <v>74</v>
      </c>
      <c r="BR255" t="s">
        <v>107</v>
      </c>
      <c r="BS255" t="s">
        <v>3880</v>
      </c>
      <c r="BT255" t="str">
        <f>HYPERLINK("https%3A%2F%2Fwww.webofscience.com%2Fwos%2Fwoscc%2Ffull-record%2FWOS:000175709800006","View Full Record in Web of Science")</f>
        <v>View Full Record in Web of Science</v>
      </c>
    </row>
    <row r="256" spans="1:72" x14ac:dyDescent="0.15">
      <c r="A256" t="s">
        <v>72</v>
      </c>
      <c r="B256" t="s">
        <v>3881</v>
      </c>
      <c r="C256" t="s">
        <v>74</v>
      </c>
      <c r="D256" t="s">
        <v>74</v>
      </c>
      <c r="E256" t="s">
        <v>74</v>
      </c>
      <c r="F256" t="s">
        <v>3881</v>
      </c>
      <c r="G256" t="s">
        <v>74</v>
      </c>
      <c r="H256" t="s">
        <v>74</v>
      </c>
      <c r="I256" t="s">
        <v>3882</v>
      </c>
      <c r="J256" t="s">
        <v>3883</v>
      </c>
      <c r="K256" t="s">
        <v>74</v>
      </c>
      <c r="L256" t="s">
        <v>74</v>
      </c>
      <c r="M256" t="s">
        <v>77</v>
      </c>
      <c r="N256" t="s">
        <v>153</v>
      </c>
      <c r="O256" t="s">
        <v>74</v>
      </c>
      <c r="P256" t="s">
        <v>74</v>
      </c>
      <c r="Q256" t="s">
        <v>74</v>
      </c>
      <c r="R256" t="s">
        <v>74</v>
      </c>
      <c r="S256" t="s">
        <v>74</v>
      </c>
      <c r="T256" t="s">
        <v>3884</v>
      </c>
      <c r="U256" t="s">
        <v>3885</v>
      </c>
      <c r="V256" t="s">
        <v>3886</v>
      </c>
      <c r="W256" t="s">
        <v>3887</v>
      </c>
      <c r="X256" t="s">
        <v>3888</v>
      </c>
      <c r="Y256" t="s">
        <v>3889</v>
      </c>
      <c r="Z256" t="s">
        <v>3890</v>
      </c>
      <c r="AA256" t="s">
        <v>3891</v>
      </c>
      <c r="AB256" t="s">
        <v>3892</v>
      </c>
      <c r="AC256" t="s">
        <v>74</v>
      </c>
      <c r="AD256" t="s">
        <v>74</v>
      </c>
      <c r="AE256" t="s">
        <v>74</v>
      </c>
      <c r="AF256" t="s">
        <v>74</v>
      </c>
      <c r="AG256">
        <v>20</v>
      </c>
      <c r="AH256">
        <v>17</v>
      </c>
      <c r="AI256">
        <v>18</v>
      </c>
      <c r="AJ256">
        <v>0</v>
      </c>
      <c r="AK256">
        <v>7</v>
      </c>
      <c r="AL256" t="s">
        <v>3893</v>
      </c>
      <c r="AM256" t="s">
        <v>3894</v>
      </c>
      <c r="AN256" t="s">
        <v>3895</v>
      </c>
      <c r="AO256" t="s">
        <v>3896</v>
      </c>
      <c r="AP256" t="s">
        <v>3897</v>
      </c>
      <c r="AQ256" t="s">
        <v>74</v>
      </c>
      <c r="AR256" t="s">
        <v>3898</v>
      </c>
      <c r="AS256" t="s">
        <v>3899</v>
      </c>
      <c r="AT256" t="s">
        <v>3598</v>
      </c>
      <c r="AU256">
        <v>2002</v>
      </c>
      <c r="AV256">
        <v>11</v>
      </c>
      <c r="AW256">
        <v>4</v>
      </c>
      <c r="AX256" t="s">
        <v>74</v>
      </c>
      <c r="AY256" t="s">
        <v>74</v>
      </c>
      <c r="AZ256" t="s">
        <v>74</v>
      </c>
      <c r="BA256" t="s">
        <v>74</v>
      </c>
      <c r="BB256">
        <v>170</v>
      </c>
      <c r="BC256">
        <v>175</v>
      </c>
      <c r="BD256" t="s">
        <v>74</v>
      </c>
      <c r="BE256" t="s">
        <v>74</v>
      </c>
      <c r="BF256" t="s">
        <v>74</v>
      </c>
      <c r="BG256" t="s">
        <v>74</v>
      </c>
      <c r="BH256" t="s">
        <v>74</v>
      </c>
      <c r="BI256">
        <v>6</v>
      </c>
      <c r="BJ256" t="s">
        <v>1019</v>
      </c>
      <c r="BK256" t="s">
        <v>170</v>
      </c>
      <c r="BL256" t="s">
        <v>1020</v>
      </c>
      <c r="BM256" t="s">
        <v>3900</v>
      </c>
      <c r="BN256" t="s">
        <v>74</v>
      </c>
      <c r="BO256" t="s">
        <v>74</v>
      </c>
      <c r="BP256" t="s">
        <v>74</v>
      </c>
      <c r="BQ256" t="s">
        <v>74</v>
      </c>
      <c r="BR256" t="s">
        <v>107</v>
      </c>
      <c r="BS256" t="s">
        <v>3901</v>
      </c>
      <c r="BT256" t="str">
        <f>HYPERLINK("https%3A%2F%2Fwww.webofscience.com%2Fwos%2Fwoscc%2Ffull-record%2FWOS:000175137500001","View Full Record in Web of Science")</f>
        <v>View Full Record in Web of Science</v>
      </c>
    </row>
    <row r="257" spans="1:72" x14ac:dyDescent="0.15">
      <c r="A257" t="s">
        <v>72</v>
      </c>
      <c r="B257" t="s">
        <v>3902</v>
      </c>
      <c r="C257" t="s">
        <v>74</v>
      </c>
      <c r="D257" t="s">
        <v>74</v>
      </c>
      <c r="E257" t="s">
        <v>74</v>
      </c>
      <c r="F257" t="s">
        <v>3902</v>
      </c>
      <c r="G257" t="s">
        <v>74</v>
      </c>
      <c r="H257" t="s">
        <v>74</v>
      </c>
      <c r="I257" t="s">
        <v>3903</v>
      </c>
      <c r="J257" t="s">
        <v>3904</v>
      </c>
      <c r="K257" t="s">
        <v>74</v>
      </c>
      <c r="L257" t="s">
        <v>74</v>
      </c>
      <c r="M257" t="s">
        <v>77</v>
      </c>
      <c r="N257" t="s">
        <v>153</v>
      </c>
      <c r="O257" t="s">
        <v>74</v>
      </c>
      <c r="P257" t="s">
        <v>74</v>
      </c>
      <c r="Q257" t="s">
        <v>74</v>
      </c>
      <c r="R257" t="s">
        <v>74</v>
      </c>
      <c r="S257" t="s">
        <v>74</v>
      </c>
      <c r="T257" t="s">
        <v>3905</v>
      </c>
      <c r="U257" t="s">
        <v>3906</v>
      </c>
      <c r="V257" t="s">
        <v>3907</v>
      </c>
      <c r="W257" t="s">
        <v>3908</v>
      </c>
      <c r="X257" t="s">
        <v>3909</v>
      </c>
      <c r="Y257" t="s">
        <v>3910</v>
      </c>
      <c r="Z257" t="s">
        <v>74</v>
      </c>
      <c r="AA257" t="s">
        <v>3911</v>
      </c>
      <c r="AB257" t="s">
        <v>74</v>
      </c>
      <c r="AC257" t="s">
        <v>74</v>
      </c>
      <c r="AD257" t="s">
        <v>74</v>
      </c>
      <c r="AE257" t="s">
        <v>74</v>
      </c>
      <c r="AF257" t="s">
        <v>74</v>
      </c>
      <c r="AG257">
        <v>80</v>
      </c>
      <c r="AH257">
        <v>65</v>
      </c>
      <c r="AI257">
        <v>70</v>
      </c>
      <c r="AJ257">
        <v>0</v>
      </c>
      <c r="AK257">
        <v>16</v>
      </c>
      <c r="AL257" t="s">
        <v>2455</v>
      </c>
      <c r="AM257" t="s">
        <v>895</v>
      </c>
      <c r="AN257" t="s">
        <v>2456</v>
      </c>
      <c r="AO257" t="s">
        <v>3912</v>
      </c>
      <c r="AP257" t="s">
        <v>74</v>
      </c>
      <c r="AQ257" t="s">
        <v>74</v>
      </c>
      <c r="AR257" t="s">
        <v>3913</v>
      </c>
      <c r="AS257" t="s">
        <v>3914</v>
      </c>
      <c r="AT257" t="s">
        <v>3598</v>
      </c>
      <c r="AU257">
        <v>2002</v>
      </c>
      <c r="AV257">
        <v>16</v>
      </c>
      <c r="AW257">
        <v>2</v>
      </c>
      <c r="AX257" t="s">
        <v>74</v>
      </c>
      <c r="AY257" t="s">
        <v>74</v>
      </c>
      <c r="AZ257" t="s">
        <v>74</v>
      </c>
      <c r="BA257" t="s">
        <v>74</v>
      </c>
      <c r="BB257">
        <v>175</v>
      </c>
      <c r="BC257">
        <v>190</v>
      </c>
      <c r="BD257" t="s">
        <v>74</v>
      </c>
      <c r="BE257" t="s">
        <v>3915</v>
      </c>
      <c r="BF257" t="str">
        <f>HYPERLINK("http://dx.doi.org/10.1046/j.1365-2435.2002.00622.x","http://dx.doi.org/10.1046/j.1365-2435.2002.00622.x")</f>
        <v>http://dx.doi.org/10.1046/j.1365-2435.2002.00622.x</v>
      </c>
      <c r="BG257" t="s">
        <v>74</v>
      </c>
      <c r="BH257" t="s">
        <v>74</v>
      </c>
      <c r="BI257">
        <v>16</v>
      </c>
      <c r="BJ257" t="s">
        <v>3878</v>
      </c>
      <c r="BK257" t="s">
        <v>170</v>
      </c>
      <c r="BL257" t="s">
        <v>1020</v>
      </c>
      <c r="BM257" t="s">
        <v>3916</v>
      </c>
      <c r="BN257" t="s">
        <v>74</v>
      </c>
      <c r="BO257" t="s">
        <v>173</v>
      </c>
      <c r="BP257" t="s">
        <v>74</v>
      </c>
      <c r="BQ257" t="s">
        <v>74</v>
      </c>
      <c r="BR257" t="s">
        <v>107</v>
      </c>
      <c r="BS257" t="s">
        <v>3917</v>
      </c>
      <c r="BT257" t="str">
        <f>HYPERLINK("https%3A%2F%2Fwww.webofscience.com%2Fwos%2Fwoscc%2Ffull-record%2FWOS:000175467600004","View Full Record in Web of Science")</f>
        <v>View Full Record in Web of Science</v>
      </c>
    </row>
    <row r="258" spans="1:72" x14ac:dyDescent="0.15">
      <c r="A258" t="s">
        <v>72</v>
      </c>
      <c r="B258" t="s">
        <v>3918</v>
      </c>
      <c r="C258" t="s">
        <v>74</v>
      </c>
      <c r="D258" t="s">
        <v>74</v>
      </c>
      <c r="E258" t="s">
        <v>74</v>
      </c>
      <c r="F258" t="s">
        <v>3918</v>
      </c>
      <c r="G258" t="s">
        <v>74</v>
      </c>
      <c r="H258" t="s">
        <v>74</v>
      </c>
      <c r="I258" t="s">
        <v>3919</v>
      </c>
      <c r="J258" t="s">
        <v>3920</v>
      </c>
      <c r="K258" t="s">
        <v>74</v>
      </c>
      <c r="L258" t="s">
        <v>74</v>
      </c>
      <c r="M258" t="s">
        <v>77</v>
      </c>
      <c r="N258" t="s">
        <v>153</v>
      </c>
      <c r="O258" t="s">
        <v>74</v>
      </c>
      <c r="P258" t="s">
        <v>74</v>
      </c>
      <c r="Q258" t="s">
        <v>74</v>
      </c>
      <c r="R258" t="s">
        <v>74</v>
      </c>
      <c r="S258" t="s">
        <v>74</v>
      </c>
      <c r="T258" t="s">
        <v>74</v>
      </c>
      <c r="U258" t="s">
        <v>3921</v>
      </c>
      <c r="V258" t="s">
        <v>3922</v>
      </c>
      <c r="W258" t="s">
        <v>3923</v>
      </c>
      <c r="X258" t="s">
        <v>3924</v>
      </c>
      <c r="Y258" t="s">
        <v>3925</v>
      </c>
      <c r="Z258" t="s">
        <v>3926</v>
      </c>
      <c r="AA258" t="s">
        <v>3927</v>
      </c>
      <c r="AB258" t="s">
        <v>3928</v>
      </c>
      <c r="AC258" t="s">
        <v>74</v>
      </c>
      <c r="AD258" t="s">
        <v>74</v>
      </c>
      <c r="AE258" t="s">
        <v>74</v>
      </c>
      <c r="AF258" t="s">
        <v>74</v>
      </c>
      <c r="AG258">
        <v>76</v>
      </c>
      <c r="AH258">
        <v>79</v>
      </c>
      <c r="AI258">
        <v>90</v>
      </c>
      <c r="AJ258">
        <v>1</v>
      </c>
      <c r="AK258">
        <v>17</v>
      </c>
      <c r="AL258" t="s">
        <v>1013</v>
      </c>
      <c r="AM258" t="s">
        <v>895</v>
      </c>
      <c r="AN258" t="s">
        <v>1014</v>
      </c>
      <c r="AO258" t="s">
        <v>3929</v>
      </c>
      <c r="AP258" t="s">
        <v>3930</v>
      </c>
      <c r="AQ258" t="s">
        <v>74</v>
      </c>
      <c r="AR258" t="s">
        <v>3931</v>
      </c>
      <c r="AS258" t="s">
        <v>3932</v>
      </c>
      <c r="AT258" t="s">
        <v>3598</v>
      </c>
      <c r="AU258">
        <v>2002</v>
      </c>
      <c r="AV258">
        <v>66</v>
      </c>
      <c r="AW258">
        <v>8</v>
      </c>
      <c r="AX258" t="s">
        <v>74</v>
      </c>
      <c r="AY258" t="s">
        <v>74</v>
      </c>
      <c r="AZ258" t="s">
        <v>74</v>
      </c>
      <c r="BA258" t="s">
        <v>74</v>
      </c>
      <c r="BB258">
        <v>1335</v>
      </c>
      <c r="BC258">
        <v>1347</v>
      </c>
      <c r="BD258" t="s">
        <v>3933</v>
      </c>
      <c r="BE258" t="s">
        <v>3934</v>
      </c>
      <c r="BF258" t="str">
        <f>HYPERLINK("http://dx.doi.org/10.1016/S0016-7037(01)00890-0","http://dx.doi.org/10.1016/S0016-7037(01)00890-0")</f>
        <v>http://dx.doi.org/10.1016/S0016-7037(01)00890-0</v>
      </c>
      <c r="BG258" t="s">
        <v>74</v>
      </c>
      <c r="BH258" t="s">
        <v>74</v>
      </c>
      <c r="BI258">
        <v>13</v>
      </c>
      <c r="BJ258" t="s">
        <v>556</v>
      </c>
      <c r="BK258" t="s">
        <v>170</v>
      </c>
      <c r="BL258" t="s">
        <v>556</v>
      </c>
      <c r="BM258" t="s">
        <v>3935</v>
      </c>
      <c r="BN258" t="s">
        <v>74</v>
      </c>
      <c r="BO258" t="s">
        <v>74</v>
      </c>
      <c r="BP258" t="s">
        <v>74</v>
      </c>
      <c r="BQ258" t="s">
        <v>74</v>
      </c>
      <c r="BR258" t="s">
        <v>107</v>
      </c>
      <c r="BS258" t="s">
        <v>3936</v>
      </c>
      <c r="BT258" t="str">
        <f>HYPERLINK("https%3A%2F%2Fwww.webofscience.com%2Fwos%2Fwoscc%2Ffull-record%2FWOS:000175099600004","View Full Record in Web of Science")</f>
        <v>View Full Record in Web of Science</v>
      </c>
    </row>
    <row r="259" spans="1:72" x14ac:dyDescent="0.15">
      <c r="A259" t="s">
        <v>72</v>
      </c>
      <c r="B259" t="s">
        <v>3937</v>
      </c>
      <c r="C259" t="s">
        <v>74</v>
      </c>
      <c r="D259" t="s">
        <v>74</v>
      </c>
      <c r="E259" t="s">
        <v>74</v>
      </c>
      <c r="F259" t="s">
        <v>3937</v>
      </c>
      <c r="G259" t="s">
        <v>74</v>
      </c>
      <c r="H259" t="s">
        <v>74</v>
      </c>
      <c r="I259" t="s">
        <v>3938</v>
      </c>
      <c r="J259" t="s">
        <v>3939</v>
      </c>
      <c r="K259" t="s">
        <v>74</v>
      </c>
      <c r="L259" t="s">
        <v>74</v>
      </c>
      <c r="M259" t="s">
        <v>77</v>
      </c>
      <c r="N259" t="s">
        <v>153</v>
      </c>
      <c r="O259" t="s">
        <v>74</v>
      </c>
      <c r="P259" t="s">
        <v>74</v>
      </c>
      <c r="Q259" t="s">
        <v>74</v>
      </c>
      <c r="R259" t="s">
        <v>74</v>
      </c>
      <c r="S259" t="s">
        <v>74</v>
      </c>
      <c r="T259" t="s">
        <v>3940</v>
      </c>
      <c r="U259" t="s">
        <v>3941</v>
      </c>
      <c r="V259" t="s">
        <v>3942</v>
      </c>
      <c r="W259" t="s">
        <v>3943</v>
      </c>
      <c r="X259" t="s">
        <v>3944</v>
      </c>
      <c r="Y259" t="s">
        <v>3945</v>
      </c>
      <c r="Z259" t="s">
        <v>3946</v>
      </c>
      <c r="AA259" t="s">
        <v>3947</v>
      </c>
      <c r="AB259" t="s">
        <v>74</v>
      </c>
      <c r="AC259" t="s">
        <v>74</v>
      </c>
      <c r="AD259" t="s">
        <v>74</v>
      </c>
      <c r="AE259" t="s">
        <v>74</v>
      </c>
      <c r="AF259" t="s">
        <v>74</v>
      </c>
      <c r="AG259">
        <v>58</v>
      </c>
      <c r="AH259">
        <v>17</v>
      </c>
      <c r="AI259">
        <v>18</v>
      </c>
      <c r="AJ259">
        <v>0</v>
      </c>
      <c r="AK259">
        <v>8</v>
      </c>
      <c r="AL259" t="s">
        <v>1646</v>
      </c>
      <c r="AM259" t="s">
        <v>895</v>
      </c>
      <c r="AN259" t="s">
        <v>1647</v>
      </c>
      <c r="AO259" t="s">
        <v>3948</v>
      </c>
      <c r="AP259" t="s">
        <v>3949</v>
      </c>
      <c r="AQ259" t="s">
        <v>74</v>
      </c>
      <c r="AR259" t="s">
        <v>3950</v>
      </c>
      <c r="AS259" t="s">
        <v>3951</v>
      </c>
      <c r="AT259" t="s">
        <v>3598</v>
      </c>
      <c r="AU259">
        <v>2002</v>
      </c>
      <c r="AV259">
        <v>149</v>
      </c>
      <c r="AW259">
        <v>1</v>
      </c>
      <c r="AX259" t="s">
        <v>74</v>
      </c>
      <c r="AY259" t="s">
        <v>74</v>
      </c>
      <c r="AZ259" t="s">
        <v>74</v>
      </c>
      <c r="BA259" t="s">
        <v>74</v>
      </c>
      <c r="BB259">
        <v>190</v>
      </c>
      <c r="BC259">
        <v>210</v>
      </c>
      <c r="BD259" t="s">
        <v>74</v>
      </c>
      <c r="BE259" t="s">
        <v>3952</v>
      </c>
      <c r="BF259" t="str">
        <f>HYPERLINK("http://dx.doi.org/10.1046/j.1365-246X.2002.01635.x","http://dx.doi.org/10.1046/j.1365-246X.2002.01635.x")</f>
        <v>http://dx.doi.org/10.1046/j.1365-246X.2002.01635.x</v>
      </c>
      <c r="BG259" t="s">
        <v>74</v>
      </c>
      <c r="BH259" t="s">
        <v>74</v>
      </c>
      <c r="BI259">
        <v>21</v>
      </c>
      <c r="BJ259" t="s">
        <v>556</v>
      </c>
      <c r="BK259" t="s">
        <v>170</v>
      </c>
      <c r="BL259" t="s">
        <v>556</v>
      </c>
      <c r="BM259" t="s">
        <v>3953</v>
      </c>
      <c r="BN259" t="s">
        <v>74</v>
      </c>
      <c r="BO259" t="s">
        <v>74</v>
      </c>
      <c r="BP259" t="s">
        <v>74</v>
      </c>
      <c r="BQ259" t="s">
        <v>74</v>
      </c>
      <c r="BR259" t="s">
        <v>107</v>
      </c>
      <c r="BS259" t="s">
        <v>3954</v>
      </c>
      <c r="BT259" t="str">
        <f>HYPERLINK("https%3A%2F%2Fwww.webofscience.com%2Fwos%2Fwoscc%2Ffull-record%2FWOS:000175731700017","View Full Record in Web of Science")</f>
        <v>View Full Record in Web of Science</v>
      </c>
    </row>
    <row r="260" spans="1:72" x14ac:dyDescent="0.15">
      <c r="A260" t="s">
        <v>72</v>
      </c>
      <c r="B260" t="s">
        <v>3955</v>
      </c>
      <c r="C260" t="s">
        <v>74</v>
      </c>
      <c r="D260" t="s">
        <v>74</v>
      </c>
      <c r="E260" t="s">
        <v>74</v>
      </c>
      <c r="F260" t="s">
        <v>3955</v>
      </c>
      <c r="G260" t="s">
        <v>74</v>
      </c>
      <c r="H260" t="s">
        <v>74</v>
      </c>
      <c r="I260" t="s">
        <v>3956</v>
      </c>
      <c r="J260" t="s">
        <v>3939</v>
      </c>
      <c r="K260" t="s">
        <v>74</v>
      </c>
      <c r="L260" t="s">
        <v>74</v>
      </c>
      <c r="M260" t="s">
        <v>77</v>
      </c>
      <c r="N260" t="s">
        <v>153</v>
      </c>
      <c r="O260" t="s">
        <v>74</v>
      </c>
      <c r="P260" t="s">
        <v>74</v>
      </c>
      <c r="Q260" t="s">
        <v>74</v>
      </c>
      <c r="R260" t="s">
        <v>74</v>
      </c>
      <c r="S260" t="s">
        <v>74</v>
      </c>
      <c r="T260" t="s">
        <v>3957</v>
      </c>
      <c r="U260" t="s">
        <v>3958</v>
      </c>
      <c r="V260" t="s">
        <v>3959</v>
      </c>
      <c r="W260" t="s">
        <v>3960</v>
      </c>
      <c r="X260" t="s">
        <v>3961</v>
      </c>
      <c r="Y260" t="s">
        <v>3962</v>
      </c>
      <c r="Z260" t="s">
        <v>74</v>
      </c>
      <c r="AA260" t="s">
        <v>3963</v>
      </c>
      <c r="AB260" t="s">
        <v>3964</v>
      </c>
      <c r="AC260" t="s">
        <v>74</v>
      </c>
      <c r="AD260" t="s">
        <v>74</v>
      </c>
      <c r="AE260" t="s">
        <v>74</v>
      </c>
      <c r="AF260" t="s">
        <v>74</v>
      </c>
      <c r="AG260">
        <v>38</v>
      </c>
      <c r="AH260">
        <v>27</v>
      </c>
      <c r="AI260">
        <v>31</v>
      </c>
      <c r="AJ260">
        <v>0</v>
      </c>
      <c r="AK260">
        <v>8</v>
      </c>
      <c r="AL260" t="s">
        <v>2455</v>
      </c>
      <c r="AM260" t="s">
        <v>895</v>
      </c>
      <c r="AN260" t="s">
        <v>2456</v>
      </c>
      <c r="AO260" t="s">
        <v>3948</v>
      </c>
      <c r="AP260" t="s">
        <v>74</v>
      </c>
      <c r="AQ260" t="s">
        <v>74</v>
      </c>
      <c r="AR260" t="s">
        <v>3950</v>
      </c>
      <c r="AS260" t="s">
        <v>3951</v>
      </c>
      <c r="AT260" t="s">
        <v>3598</v>
      </c>
      <c r="AU260">
        <v>2002</v>
      </c>
      <c r="AV260">
        <v>149</v>
      </c>
      <c r="AW260">
        <v>1</v>
      </c>
      <c r="AX260" t="s">
        <v>74</v>
      </c>
      <c r="AY260" t="s">
        <v>74</v>
      </c>
      <c r="AZ260" t="s">
        <v>74</v>
      </c>
      <c r="BA260" t="s">
        <v>74</v>
      </c>
      <c r="BB260" t="s">
        <v>3965</v>
      </c>
      <c r="BC260" t="s">
        <v>3966</v>
      </c>
      <c r="BD260" t="s">
        <v>74</v>
      </c>
      <c r="BE260" t="s">
        <v>3967</v>
      </c>
      <c r="BF260" t="str">
        <f>HYPERLINK("http://dx.doi.org/10.1046/j.1365-246X.2002.01636.x","http://dx.doi.org/10.1046/j.1365-246X.2002.01636.x")</f>
        <v>http://dx.doi.org/10.1046/j.1365-246X.2002.01636.x</v>
      </c>
      <c r="BG260" t="s">
        <v>74</v>
      </c>
      <c r="BH260" t="s">
        <v>74</v>
      </c>
      <c r="BI260">
        <v>7</v>
      </c>
      <c r="BJ260" t="s">
        <v>556</v>
      </c>
      <c r="BK260" t="s">
        <v>170</v>
      </c>
      <c r="BL260" t="s">
        <v>556</v>
      </c>
      <c r="BM260" t="s">
        <v>3953</v>
      </c>
      <c r="BN260" t="s">
        <v>74</v>
      </c>
      <c r="BO260" t="s">
        <v>173</v>
      </c>
      <c r="BP260" t="s">
        <v>74</v>
      </c>
      <c r="BQ260" t="s">
        <v>74</v>
      </c>
      <c r="BR260" t="s">
        <v>107</v>
      </c>
      <c r="BS260" t="s">
        <v>3968</v>
      </c>
      <c r="BT260" t="str">
        <f>HYPERLINK("https%3A%2F%2Fwww.webofscience.com%2Fwos%2Fwoscc%2Ffull-record%2FWOS:000175731700001","View Full Record in Web of Science")</f>
        <v>View Full Record in Web of Science</v>
      </c>
    </row>
    <row r="261" spans="1:72" x14ac:dyDescent="0.15">
      <c r="A261" t="s">
        <v>72</v>
      </c>
      <c r="B261" t="s">
        <v>3969</v>
      </c>
      <c r="C261" t="s">
        <v>74</v>
      </c>
      <c r="D261" t="s">
        <v>74</v>
      </c>
      <c r="E261" t="s">
        <v>74</v>
      </c>
      <c r="F261" t="s">
        <v>3969</v>
      </c>
      <c r="G261" t="s">
        <v>74</v>
      </c>
      <c r="H261" t="s">
        <v>74</v>
      </c>
      <c r="I261" t="s">
        <v>3970</v>
      </c>
      <c r="J261" t="s">
        <v>594</v>
      </c>
      <c r="K261" t="s">
        <v>74</v>
      </c>
      <c r="L261" t="s">
        <v>74</v>
      </c>
      <c r="M261" t="s">
        <v>77</v>
      </c>
      <c r="N261" t="s">
        <v>153</v>
      </c>
      <c r="O261" t="s">
        <v>74</v>
      </c>
      <c r="P261" t="s">
        <v>74</v>
      </c>
      <c r="Q261" t="s">
        <v>74</v>
      </c>
      <c r="R261" t="s">
        <v>74</v>
      </c>
      <c r="S261" t="s">
        <v>74</v>
      </c>
      <c r="T261" t="s">
        <v>74</v>
      </c>
      <c r="U261" t="s">
        <v>3971</v>
      </c>
      <c r="V261" t="s">
        <v>3972</v>
      </c>
      <c r="W261" t="s">
        <v>3973</v>
      </c>
      <c r="X261" t="s">
        <v>3974</v>
      </c>
      <c r="Y261" t="s">
        <v>3975</v>
      </c>
      <c r="Z261" t="s">
        <v>74</v>
      </c>
      <c r="AA261" t="s">
        <v>3976</v>
      </c>
      <c r="AB261" t="s">
        <v>3977</v>
      </c>
      <c r="AC261" t="s">
        <v>74</v>
      </c>
      <c r="AD261" t="s">
        <v>74</v>
      </c>
      <c r="AE261" t="s">
        <v>74</v>
      </c>
      <c r="AF261" t="s">
        <v>74</v>
      </c>
      <c r="AG261">
        <v>25</v>
      </c>
      <c r="AH261">
        <v>104</v>
      </c>
      <c r="AI261">
        <v>112</v>
      </c>
      <c r="AJ261">
        <v>1</v>
      </c>
      <c r="AK261">
        <v>22</v>
      </c>
      <c r="AL261" t="s">
        <v>161</v>
      </c>
      <c r="AM261" t="s">
        <v>162</v>
      </c>
      <c r="AN261" t="s">
        <v>163</v>
      </c>
      <c r="AO261" t="s">
        <v>602</v>
      </c>
      <c r="AP261" t="s">
        <v>603</v>
      </c>
      <c r="AQ261" t="s">
        <v>74</v>
      </c>
      <c r="AR261" t="s">
        <v>604</v>
      </c>
      <c r="AS261" t="s">
        <v>605</v>
      </c>
      <c r="AT261" t="s">
        <v>3978</v>
      </c>
      <c r="AU261">
        <v>2002</v>
      </c>
      <c r="AV261">
        <v>29</v>
      </c>
      <c r="AW261">
        <v>7</v>
      </c>
      <c r="AX261" t="s">
        <v>74</v>
      </c>
      <c r="AY261" t="s">
        <v>74</v>
      </c>
      <c r="AZ261" t="s">
        <v>74</v>
      </c>
      <c r="BA261" t="s">
        <v>74</v>
      </c>
      <c r="BB261" t="s">
        <v>74</v>
      </c>
      <c r="BC261" t="s">
        <v>74</v>
      </c>
      <c r="BD261">
        <v>1104</v>
      </c>
      <c r="BE261" t="s">
        <v>3979</v>
      </c>
      <c r="BF261" t="str">
        <f>HYPERLINK("http://dx.doi.org/10.1029/2001GL014160","http://dx.doi.org/10.1029/2001GL014160")</f>
        <v>http://dx.doi.org/10.1029/2001GL014160</v>
      </c>
      <c r="BG261" t="s">
        <v>74</v>
      </c>
      <c r="BH261" t="s">
        <v>74</v>
      </c>
      <c r="BI261">
        <v>4</v>
      </c>
      <c r="BJ261" t="s">
        <v>608</v>
      </c>
      <c r="BK261" t="s">
        <v>170</v>
      </c>
      <c r="BL261" t="s">
        <v>439</v>
      </c>
      <c r="BM261" t="s">
        <v>3980</v>
      </c>
      <c r="BN261" t="s">
        <v>74</v>
      </c>
      <c r="BO261" t="s">
        <v>173</v>
      </c>
      <c r="BP261" t="s">
        <v>74</v>
      </c>
      <c r="BQ261" t="s">
        <v>74</v>
      </c>
      <c r="BR261" t="s">
        <v>107</v>
      </c>
      <c r="BS261" t="s">
        <v>3981</v>
      </c>
      <c r="BT261" t="str">
        <f>HYPERLINK("https%3A%2F%2Fwww.webofscience.com%2Fwos%2Fwoscc%2Ffull-record%2FWOS:000178886700056","View Full Record in Web of Science")</f>
        <v>View Full Record in Web of Science</v>
      </c>
    </row>
    <row r="262" spans="1:72" x14ac:dyDescent="0.15">
      <c r="A262" t="s">
        <v>72</v>
      </c>
      <c r="B262" t="s">
        <v>3982</v>
      </c>
      <c r="C262" t="s">
        <v>74</v>
      </c>
      <c r="D262" t="s">
        <v>74</v>
      </c>
      <c r="E262" t="s">
        <v>74</v>
      </c>
      <c r="F262" t="s">
        <v>3982</v>
      </c>
      <c r="G262" t="s">
        <v>74</v>
      </c>
      <c r="H262" t="s">
        <v>74</v>
      </c>
      <c r="I262" t="s">
        <v>3983</v>
      </c>
      <c r="J262" t="s">
        <v>594</v>
      </c>
      <c r="K262" t="s">
        <v>74</v>
      </c>
      <c r="L262" t="s">
        <v>74</v>
      </c>
      <c r="M262" t="s">
        <v>77</v>
      </c>
      <c r="N262" t="s">
        <v>153</v>
      </c>
      <c r="O262" t="s">
        <v>74</v>
      </c>
      <c r="P262" t="s">
        <v>74</v>
      </c>
      <c r="Q262" t="s">
        <v>74</v>
      </c>
      <c r="R262" t="s">
        <v>74</v>
      </c>
      <c r="S262" t="s">
        <v>74</v>
      </c>
      <c r="T262" t="s">
        <v>74</v>
      </c>
      <c r="U262" t="s">
        <v>3984</v>
      </c>
      <c r="V262" t="s">
        <v>3985</v>
      </c>
      <c r="W262" t="s">
        <v>3986</v>
      </c>
      <c r="X262" t="s">
        <v>1267</v>
      </c>
      <c r="Y262" t="s">
        <v>3987</v>
      </c>
      <c r="Z262" t="s">
        <v>3988</v>
      </c>
      <c r="AA262" t="s">
        <v>3989</v>
      </c>
      <c r="AB262" t="s">
        <v>3990</v>
      </c>
      <c r="AC262" t="s">
        <v>74</v>
      </c>
      <c r="AD262" t="s">
        <v>74</v>
      </c>
      <c r="AE262" t="s">
        <v>74</v>
      </c>
      <c r="AF262" t="s">
        <v>74</v>
      </c>
      <c r="AG262">
        <v>12</v>
      </c>
      <c r="AH262">
        <v>38</v>
      </c>
      <c r="AI262">
        <v>38</v>
      </c>
      <c r="AJ262">
        <v>0</v>
      </c>
      <c r="AK262">
        <v>0</v>
      </c>
      <c r="AL262" t="s">
        <v>161</v>
      </c>
      <c r="AM262" t="s">
        <v>162</v>
      </c>
      <c r="AN262" t="s">
        <v>163</v>
      </c>
      <c r="AO262" t="s">
        <v>602</v>
      </c>
      <c r="AP262" t="s">
        <v>603</v>
      </c>
      <c r="AQ262" t="s">
        <v>74</v>
      </c>
      <c r="AR262" t="s">
        <v>604</v>
      </c>
      <c r="AS262" t="s">
        <v>605</v>
      </c>
      <c r="AT262" t="s">
        <v>3978</v>
      </c>
      <c r="AU262">
        <v>2002</v>
      </c>
      <c r="AV262">
        <v>29</v>
      </c>
      <c r="AW262">
        <v>7</v>
      </c>
      <c r="AX262" t="s">
        <v>74</v>
      </c>
      <c r="AY262" t="s">
        <v>74</v>
      </c>
      <c r="AZ262" t="s">
        <v>74</v>
      </c>
      <c r="BA262" t="s">
        <v>74</v>
      </c>
      <c r="BB262" t="s">
        <v>74</v>
      </c>
      <c r="BC262" t="s">
        <v>74</v>
      </c>
      <c r="BD262">
        <v>1098</v>
      </c>
      <c r="BE262" t="s">
        <v>3991</v>
      </c>
      <c r="BF262" t="str">
        <f>HYPERLINK("http://dx.doi.org/10.1029/2001GL014206","http://dx.doi.org/10.1029/2001GL014206")</f>
        <v>http://dx.doi.org/10.1029/2001GL014206</v>
      </c>
      <c r="BG262" t="s">
        <v>74</v>
      </c>
      <c r="BH262" t="s">
        <v>74</v>
      </c>
      <c r="BI262">
        <v>4</v>
      </c>
      <c r="BJ262" t="s">
        <v>608</v>
      </c>
      <c r="BK262" t="s">
        <v>170</v>
      </c>
      <c r="BL262" t="s">
        <v>439</v>
      </c>
      <c r="BM262" t="s">
        <v>3980</v>
      </c>
      <c r="BN262" t="s">
        <v>74</v>
      </c>
      <c r="BO262" t="s">
        <v>173</v>
      </c>
      <c r="BP262" t="s">
        <v>74</v>
      </c>
      <c r="BQ262" t="s">
        <v>74</v>
      </c>
      <c r="BR262" t="s">
        <v>107</v>
      </c>
      <c r="BS262" t="s">
        <v>3992</v>
      </c>
      <c r="BT262" t="str">
        <f>HYPERLINK("https%3A%2F%2Fwww.webofscience.com%2Fwos%2Fwoscc%2Ffull-record%2FWOS:000178886700062","View Full Record in Web of Science")</f>
        <v>View Full Record in Web of Science</v>
      </c>
    </row>
    <row r="263" spans="1:72" x14ac:dyDescent="0.15">
      <c r="A263" t="s">
        <v>72</v>
      </c>
      <c r="B263" t="s">
        <v>3993</v>
      </c>
      <c r="C263" t="s">
        <v>74</v>
      </c>
      <c r="D263" t="s">
        <v>74</v>
      </c>
      <c r="E263" t="s">
        <v>74</v>
      </c>
      <c r="F263" t="s">
        <v>3993</v>
      </c>
      <c r="G263" t="s">
        <v>74</v>
      </c>
      <c r="H263" t="s">
        <v>74</v>
      </c>
      <c r="I263" t="s">
        <v>3994</v>
      </c>
      <c r="J263" t="s">
        <v>594</v>
      </c>
      <c r="K263" t="s">
        <v>74</v>
      </c>
      <c r="L263" t="s">
        <v>74</v>
      </c>
      <c r="M263" t="s">
        <v>77</v>
      </c>
      <c r="N263" t="s">
        <v>153</v>
      </c>
      <c r="O263" t="s">
        <v>74</v>
      </c>
      <c r="P263" t="s">
        <v>74</v>
      </c>
      <c r="Q263" t="s">
        <v>74</v>
      </c>
      <c r="R263" t="s">
        <v>74</v>
      </c>
      <c r="S263" t="s">
        <v>74</v>
      </c>
      <c r="T263" t="s">
        <v>74</v>
      </c>
      <c r="U263" t="s">
        <v>3995</v>
      </c>
      <c r="V263" t="s">
        <v>3996</v>
      </c>
      <c r="W263" t="s">
        <v>3997</v>
      </c>
      <c r="X263" t="s">
        <v>1267</v>
      </c>
      <c r="Y263" t="s">
        <v>3998</v>
      </c>
      <c r="Z263" t="s">
        <v>3999</v>
      </c>
      <c r="AA263" t="s">
        <v>4000</v>
      </c>
      <c r="AB263" t="s">
        <v>4001</v>
      </c>
      <c r="AC263" t="s">
        <v>74</v>
      </c>
      <c r="AD263" t="s">
        <v>74</v>
      </c>
      <c r="AE263" t="s">
        <v>74</v>
      </c>
      <c r="AF263" t="s">
        <v>74</v>
      </c>
      <c r="AG263">
        <v>34</v>
      </c>
      <c r="AH263">
        <v>16</v>
      </c>
      <c r="AI263">
        <v>20</v>
      </c>
      <c r="AJ263">
        <v>0</v>
      </c>
      <c r="AK263">
        <v>7</v>
      </c>
      <c r="AL263" t="s">
        <v>161</v>
      </c>
      <c r="AM263" t="s">
        <v>162</v>
      </c>
      <c r="AN263" t="s">
        <v>163</v>
      </c>
      <c r="AO263" t="s">
        <v>602</v>
      </c>
      <c r="AP263" t="s">
        <v>603</v>
      </c>
      <c r="AQ263" t="s">
        <v>74</v>
      </c>
      <c r="AR263" t="s">
        <v>604</v>
      </c>
      <c r="AS263" t="s">
        <v>605</v>
      </c>
      <c r="AT263" t="s">
        <v>3978</v>
      </c>
      <c r="AU263">
        <v>2002</v>
      </c>
      <c r="AV263">
        <v>29</v>
      </c>
      <c r="AW263">
        <v>7</v>
      </c>
      <c r="AX263" t="s">
        <v>74</v>
      </c>
      <c r="AY263" t="s">
        <v>74</v>
      </c>
      <c r="AZ263" t="s">
        <v>74</v>
      </c>
      <c r="BA263" t="s">
        <v>74</v>
      </c>
      <c r="BB263" t="s">
        <v>74</v>
      </c>
      <c r="BC263" t="s">
        <v>74</v>
      </c>
      <c r="BD263">
        <v>1128</v>
      </c>
      <c r="BE263" t="s">
        <v>4002</v>
      </c>
      <c r="BF263" t="str">
        <f>HYPERLINK("http://dx.doi.org/10.1029/2001GL014439","http://dx.doi.org/10.1029/2001GL014439")</f>
        <v>http://dx.doi.org/10.1029/2001GL014439</v>
      </c>
      <c r="BG263" t="s">
        <v>74</v>
      </c>
      <c r="BH263" t="s">
        <v>74</v>
      </c>
      <c r="BI263">
        <v>4</v>
      </c>
      <c r="BJ263" t="s">
        <v>608</v>
      </c>
      <c r="BK263" t="s">
        <v>170</v>
      </c>
      <c r="BL263" t="s">
        <v>439</v>
      </c>
      <c r="BM263" t="s">
        <v>3980</v>
      </c>
      <c r="BN263" t="s">
        <v>74</v>
      </c>
      <c r="BO263" t="s">
        <v>74</v>
      </c>
      <c r="BP263" t="s">
        <v>74</v>
      </c>
      <c r="BQ263" t="s">
        <v>74</v>
      </c>
      <c r="BR263" t="s">
        <v>107</v>
      </c>
      <c r="BS263" t="s">
        <v>4003</v>
      </c>
      <c r="BT263" t="str">
        <f>HYPERLINK("https%3A%2F%2Fwww.webofscience.com%2Fwos%2Fwoscc%2Ffull-record%2FWOS:000178886700032","View Full Record in Web of Science")</f>
        <v>View Full Record in Web of Science</v>
      </c>
    </row>
    <row r="264" spans="1:72" x14ac:dyDescent="0.15">
      <c r="A264" t="s">
        <v>72</v>
      </c>
      <c r="B264" t="s">
        <v>4004</v>
      </c>
      <c r="C264" t="s">
        <v>74</v>
      </c>
      <c r="D264" t="s">
        <v>74</v>
      </c>
      <c r="E264" t="s">
        <v>74</v>
      </c>
      <c r="F264" t="s">
        <v>4004</v>
      </c>
      <c r="G264" t="s">
        <v>74</v>
      </c>
      <c r="H264" t="s">
        <v>74</v>
      </c>
      <c r="I264" t="s">
        <v>4005</v>
      </c>
      <c r="J264" t="s">
        <v>594</v>
      </c>
      <c r="K264" t="s">
        <v>74</v>
      </c>
      <c r="L264" t="s">
        <v>74</v>
      </c>
      <c r="M264" t="s">
        <v>77</v>
      </c>
      <c r="N264" t="s">
        <v>153</v>
      </c>
      <c r="O264" t="s">
        <v>74</v>
      </c>
      <c r="P264" t="s">
        <v>74</v>
      </c>
      <c r="Q264" t="s">
        <v>74</v>
      </c>
      <c r="R264" t="s">
        <v>74</v>
      </c>
      <c r="S264" t="s">
        <v>74</v>
      </c>
      <c r="T264" t="s">
        <v>74</v>
      </c>
      <c r="U264" t="s">
        <v>4006</v>
      </c>
      <c r="V264" t="s">
        <v>4007</v>
      </c>
      <c r="W264" t="s">
        <v>4008</v>
      </c>
      <c r="X264" t="s">
        <v>4009</v>
      </c>
      <c r="Y264" t="s">
        <v>4010</v>
      </c>
      <c r="Z264" t="s">
        <v>74</v>
      </c>
      <c r="AA264" t="s">
        <v>4011</v>
      </c>
      <c r="AB264" t="s">
        <v>4012</v>
      </c>
      <c r="AC264" t="s">
        <v>74</v>
      </c>
      <c r="AD264" t="s">
        <v>74</v>
      </c>
      <c r="AE264" t="s">
        <v>74</v>
      </c>
      <c r="AF264" t="s">
        <v>74</v>
      </c>
      <c r="AG264">
        <v>13</v>
      </c>
      <c r="AH264">
        <v>20</v>
      </c>
      <c r="AI264">
        <v>23</v>
      </c>
      <c r="AJ264">
        <v>0</v>
      </c>
      <c r="AK264">
        <v>1</v>
      </c>
      <c r="AL264" t="s">
        <v>161</v>
      </c>
      <c r="AM264" t="s">
        <v>162</v>
      </c>
      <c r="AN264" t="s">
        <v>163</v>
      </c>
      <c r="AO264" t="s">
        <v>602</v>
      </c>
      <c r="AP264" t="s">
        <v>74</v>
      </c>
      <c r="AQ264" t="s">
        <v>74</v>
      </c>
      <c r="AR264" t="s">
        <v>604</v>
      </c>
      <c r="AS264" t="s">
        <v>605</v>
      </c>
      <c r="AT264" t="s">
        <v>3978</v>
      </c>
      <c r="AU264">
        <v>2002</v>
      </c>
      <c r="AV264">
        <v>29</v>
      </c>
      <c r="AW264">
        <v>7</v>
      </c>
      <c r="AX264" t="s">
        <v>74</v>
      </c>
      <c r="AY264" t="s">
        <v>74</v>
      </c>
      <c r="AZ264" t="s">
        <v>74</v>
      </c>
      <c r="BA264" t="s">
        <v>74</v>
      </c>
      <c r="BB264" t="s">
        <v>74</v>
      </c>
      <c r="BC264" t="s">
        <v>74</v>
      </c>
      <c r="BD264">
        <v>1157</v>
      </c>
      <c r="BE264" t="s">
        <v>4013</v>
      </c>
      <c r="BF264" t="str">
        <f>HYPERLINK("http://dx.doi.org/10.1029/2001GL014094","http://dx.doi.org/10.1029/2001GL014094")</f>
        <v>http://dx.doi.org/10.1029/2001GL014094</v>
      </c>
      <c r="BG264" t="s">
        <v>74</v>
      </c>
      <c r="BH264" t="s">
        <v>74</v>
      </c>
      <c r="BI264">
        <v>4</v>
      </c>
      <c r="BJ264" t="s">
        <v>608</v>
      </c>
      <c r="BK264" t="s">
        <v>170</v>
      </c>
      <c r="BL264" t="s">
        <v>439</v>
      </c>
      <c r="BM264" t="s">
        <v>3980</v>
      </c>
      <c r="BN264" t="s">
        <v>74</v>
      </c>
      <c r="BO264" t="s">
        <v>173</v>
      </c>
      <c r="BP264" t="s">
        <v>74</v>
      </c>
      <c r="BQ264" t="s">
        <v>74</v>
      </c>
      <c r="BR264" t="s">
        <v>107</v>
      </c>
      <c r="BS264" t="s">
        <v>4014</v>
      </c>
      <c r="BT264" t="str">
        <f>HYPERLINK("https%3A%2F%2Fwww.webofscience.com%2Fwos%2Fwoscc%2Ffull-record%2FWOS:000178886700003","View Full Record in Web of Science")</f>
        <v>View Full Record in Web of Science</v>
      </c>
    </row>
    <row r="265" spans="1:72" x14ac:dyDescent="0.15">
      <c r="A265" t="s">
        <v>72</v>
      </c>
      <c r="B265" t="s">
        <v>4015</v>
      </c>
      <c r="C265" t="s">
        <v>74</v>
      </c>
      <c r="D265" t="s">
        <v>74</v>
      </c>
      <c r="E265" t="s">
        <v>74</v>
      </c>
      <c r="F265" t="s">
        <v>4015</v>
      </c>
      <c r="G265" t="s">
        <v>74</v>
      </c>
      <c r="H265" t="s">
        <v>74</v>
      </c>
      <c r="I265" t="s">
        <v>4016</v>
      </c>
      <c r="J265" t="s">
        <v>594</v>
      </c>
      <c r="K265" t="s">
        <v>74</v>
      </c>
      <c r="L265" t="s">
        <v>74</v>
      </c>
      <c r="M265" t="s">
        <v>77</v>
      </c>
      <c r="N265" t="s">
        <v>153</v>
      </c>
      <c r="O265" t="s">
        <v>74</v>
      </c>
      <c r="P265" t="s">
        <v>74</v>
      </c>
      <c r="Q265" t="s">
        <v>74</v>
      </c>
      <c r="R265" t="s">
        <v>74</v>
      </c>
      <c r="S265" t="s">
        <v>74</v>
      </c>
      <c r="T265" t="s">
        <v>74</v>
      </c>
      <c r="U265" t="s">
        <v>4017</v>
      </c>
      <c r="V265" t="s">
        <v>4018</v>
      </c>
      <c r="W265" t="s">
        <v>4019</v>
      </c>
      <c r="X265" t="s">
        <v>4020</v>
      </c>
      <c r="Y265" t="s">
        <v>4021</v>
      </c>
      <c r="Z265" t="s">
        <v>4022</v>
      </c>
      <c r="AA265" t="s">
        <v>4023</v>
      </c>
      <c r="AB265" t="s">
        <v>4024</v>
      </c>
      <c r="AC265" t="s">
        <v>74</v>
      </c>
      <c r="AD265" t="s">
        <v>74</v>
      </c>
      <c r="AE265" t="s">
        <v>74</v>
      </c>
      <c r="AF265" t="s">
        <v>74</v>
      </c>
      <c r="AG265">
        <v>11</v>
      </c>
      <c r="AH265">
        <v>7</v>
      </c>
      <c r="AI265">
        <v>9</v>
      </c>
      <c r="AJ265">
        <v>0</v>
      </c>
      <c r="AK265">
        <v>3</v>
      </c>
      <c r="AL265" t="s">
        <v>161</v>
      </c>
      <c r="AM265" t="s">
        <v>162</v>
      </c>
      <c r="AN265" t="s">
        <v>163</v>
      </c>
      <c r="AO265" t="s">
        <v>602</v>
      </c>
      <c r="AP265" t="s">
        <v>603</v>
      </c>
      <c r="AQ265" t="s">
        <v>74</v>
      </c>
      <c r="AR265" t="s">
        <v>604</v>
      </c>
      <c r="AS265" t="s">
        <v>605</v>
      </c>
      <c r="AT265" t="s">
        <v>3978</v>
      </c>
      <c r="AU265">
        <v>2002</v>
      </c>
      <c r="AV265">
        <v>29</v>
      </c>
      <c r="AW265">
        <v>7</v>
      </c>
      <c r="AX265" t="s">
        <v>74</v>
      </c>
      <c r="AY265" t="s">
        <v>74</v>
      </c>
      <c r="AZ265" t="s">
        <v>74</v>
      </c>
      <c r="BA265" t="s">
        <v>74</v>
      </c>
      <c r="BB265" t="s">
        <v>74</v>
      </c>
      <c r="BC265" t="s">
        <v>74</v>
      </c>
      <c r="BD265">
        <v>1136</v>
      </c>
      <c r="BE265" t="s">
        <v>4025</v>
      </c>
      <c r="BF265" t="str">
        <f>HYPERLINK("http://dx.doi.org/10.1029/2001GL014192","http://dx.doi.org/10.1029/2001GL014192")</f>
        <v>http://dx.doi.org/10.1029/2001GL014192</v>
      </c>
      <c r="BG265" t="s">
        <v>74</v>
      </c>
      <c r="BH265" t="s">
        <v>74</v>
      </c>
      <c r="BI265">
        <v>4</v>
      </c>
      <c r="BJ265" t="s">
        <v>608</v>
      </c>
      <c r="BK265" t="s">
        <v>170</v>
      </c>
      <c r="BL265" t="s">
        <v>439</v>
      </c>
      <c r="BM265" t="s">
        <v>3980</v>
      </c>
      <c r="BN265" t="s">
        <v>74</v>
      </c>
      <c r="BO265" t="s">
        <v>2089</v>
      </c>
      <c r="BP265" t="s">
        <v>74</v>
      </c>
      <c r="BQ265" t="s">
        <v>74</v>
      </c>
      <c r="BR265" t="s">
        <v>107</v>
      </c>
      <c r="BS265" t="s">
        <v>4026</v>
      </c>
      <c r="BT265" t="str">
        <f>HYPERLINK("https%3A%2F%2Fwww.webofscience.com%2Fwos%2Fwoscc%2Ffull-record%2FWOS:000178886700024","View Full Record in Web of Science")</f>
        <v>View Full Record in Web of Science</v>
      </c>
    </row>
    <row r="266" spans="1:72" x14ac:dyDescent="0.15">
      <c r="A266" t="s">
        <v>72</v>
      </c>
      <c r="B266" t="s">
        <v>4027</v>
      </c>
      <c r="C266" t="s">
        <v>74</v>
      </c>
      <c r="D266" t="s">
        <v>74</v>
      </c>
      <c r="E266" t="s">
        <v>74</v>
      </c>
      <c r="F266" t="s">
        <v>4027</v>
      </c>
      <c r="G266" t="s">
        <v>74</v>
      </c>
      <c r="H266" t="s">
        <v>74</v>
      </c>
      <c r="I266" t="s">
        <v>4028</v>
      </c>
      <c r="J266" t="s">
        <v>4029</v>
      </c>
      <c r="K266" t="s">
        <v>74</v>
      </c>
      <c r="L266" t="s">
        <v>74</v>
      </c>
      <c r="M266" t="s">
        <v>77</v>
      </c>
      <c r="N266" t="s">
        <v>153</v>
      </c>
      <c r="O266" t="s">
        <v>74</v>
      </c>
      <c r="P266" t="s">
        <v>74</v>
      </c>
      <c r="Q266" t="s">
        <v>74</v>
      </c>
      <c r="R266" t="s">
        <v>74</v>
      </c>
      <c r="S266" t="s">
        <v>74</v>
      </c>
      <c r="T266" t="s">
        <v>4030</v>
      </c>
      <c r="U266" t="s">
        <v>4031</v>
      </c>
      <c r="V266" t="s">
        <v>4032</v>
      </c>
      <c r="W266" t="s">
        <v>4033</v>
      </c>
      <c r="X266" t="s">
        <v>4034</v>
      </c>
      <c r="Y266" t="s">
        <v>4035</v>
      </c>
      <c r="Z266" t="s">
        <v>4036</v>
      </c>
      <c r="AA266" t="s">
        <v>4037</v>
      </c>
      <c r="AB266" t="s">
        <v>4038</v>
      </c>
      <c r="AC266" t="s">
        <v>74</v>
      </c>
      <c r="AD266" t="s">
        <v>74</v>
      </c>
      <c r="AE266" t="s">
        <v>74</v>
      </c>
      <c r="AF266" t="s">
        <v>74</v>
      </c>
      <c r="AG266">
        <v>49</v>
      </c>
      <c r="AH266">
        <v>29</v>
      </c>
      <c r="AI266">
        <v>33</v>
      </c>
      <c r="AJ266">
        <v>0</v>
      </c>
      <c r="AK266">
        <v>6</v>
      </c>
      <c r="AL266" t="s">
        <v>3214</v>
      </c>
      <c r="AM266" t="s">
        <v>1127</v>
      </c>
      <c r="AN266" t="s">
        <v>3215</v>
      </c>
      <c r="AO266" t="s">
        <v>4039</v>
      </c>
      <c r="AP266" t="s">
        <v>4040</v>
      </c>
      <c r="AQ266" t="s">
        <v>74</v>
      </c>
      <c r="AR266" t="s">
        <v>4029</v>
      </c>
      <c r="AS266" t="s">
        <v>4041</v>
      </c>
      <c r="AT266" t="s">
        <v>3598</v>
      </c>
      <c r="AU266">
        <v>2002</v>
      </c>
      <c r="AV266">
        <v>88</v>
      </c>
      <c r="AW266" t="s">
        <v>74</v>
      </c>
      <c r="AX266">
        <v>4</v>
      </c>
      <c r="AY266" t="s">
        <v>74</v>
      </c>
      <c r="AZ266" t="s">
        <v>74</v>
      </c>
      <c r="BA266" t="s">
        <v>74</v>
      </c>
      <c r="BB266">
        <v>280</v>
      </c>
      <c r="BC266">
        <v>287</v>
      </c>
      <c r="BD266" t="s">
        <v>74</v>
      </c>
      <c r="BE266" t="s">
        <v>4042</v>
      </c>
      <c r="BF266" t="str">
        <f>HYPERLINK("http://dx.doi.org/10.1038/sj.hdy.6800041","http://dx.doi.org/10.1038/sj.hdy.6800041")</f>
        <v>http://dx.doi.org/10.1038/sj.hdy.6800041</v>
      </c>
      <c r="BG266" t="s">
        <v>74</v>
      </c>
      <c r="BH266" t="s">
        <v>74</v>
      </c>
      <c r="BI266">
        <v>8</v>
      </c>
      <c r="BJ266" t="s">
        <v>3129</v>
      </c>
      <c r="BK266" t="s">
        <v>170</v>
      </c>
      <c r="BL266" t="s">
        <v>3130</v>
      </c>
      <c r="BM266" t="s">
        <v>4043</v>
      </c>
      <c r="BN266">
        <v>11920136</v>
      </c>
      <c r="BO266" t="s">
        <v>173</v>
      </c>
      <c r="BP266" t="s">
        <v>74</v>
      </c>
      <c r="BQ266" t="s">
        <v>74</v>
      </c>
      <c r="BR266" t="s">
        <v>107</v>
      </c>
      <c r="BS266" t="s">
        <v>4044</v>
      </c>
      <c r="BT266" t="str">
        <f>HYPERLINK("https%3A%2F%2Fwww.webofscience.com%2Fwos%2Fwoscc%2Ffull-record%2FWOS:000176215600010","View Full Record in Web of Science")</f>
        <v>View Full Record in Web of Science</v>
      </c>
    </row>
    <row r="267" spans="1:72" x14ac:dyDescent="0.15">
      <c r="A267" t="s">
        <v>72</v>
      </c>
      <c r="B267" t="s">
        <v>4045</v>
      </c>
      <c r="C267" t="s">
        <v>74</v>
      </c>
      <c r="D267" t="s">
        <v>74</v>
      </c>
      <c r="E267" t="s">
        <v>74</v>
      </c>
      <c r="F267" t="s">
        <v>4045</v>
      </c>
      <c r="G267" t="s">
        <v>74</v>
      </c>
      <c r="H267" t="s">
        <v>74</v>
      </c>
      <c r="I267" t="s">
        <v>4046</v>
      </c>
      <c r="J267" t="s">
        <v>4047</v>
      </c>
      <c r="K267" t="s">
        <v>74</v>
      </c>
      <c r="L267" t="s">
        <v>74</v>
      </c>
      <c r="M267" t="s">
        <v>77</v>
      </c>
      <c r="N267" t="s">
        <v>153</v>
      </c>
      <c r="O267" t="s">
        <v>74</v>
      </c>
      <c r="P267" t="s">
        <v>74</v>
      </c>
      <c r="Q267" t="s">
        <v>74</v>
      </c>
      <c r="R267" t="s">
        <v>74</v>
      </c>
      <c r="S267" t="s">
        <v>74</v>
      </c>
      <c r="T267" t="s">
        <v>4048</v>
      </c>
      <c r="U267" t="s">
        <v>4049</v>
      </c>
      <c r="V267" t="s">
        <v>74</v>
      </c>
      <c r="W267" t="s">
        <v>4050</v>
      </c>
      <c r="X267" t="s">
        <v>74</v>
      </c>
      <c r="Y267" t="s">
        <v>4051</v>
      </c>
      <c r="Z267" t="s">
        <v>74</v>
      </c>
      <c r="AA267" t="s">
        <v>74</v>
      </c>
      <c r="AB267" t="s">
        <v>74</v>
      </c>
      <c r="AC267" t="s">
        <v>74</v>
      </c>
      <c r="AD267" t="s">
        <v>74</v>
      </c>
      <c r="AE267" t="s">
        <v>74</v>
      </c>
      <c r="AF267" t="s">
        <v>74</v>
      </c>
      <c r="AG267">
        <v>11</v>
      </c>
      <c r="AH267">
        <v>5</v>
      </c>
      <c r="AI267">
        <v>5</v>
      </c>
      <c r="AJ267">
        <v>0</v>
      </c>
      <c r="AK267">
        <v>14</v>
      </c>
      <c r="AL267" t="s">
        <v>4052</v>
      </c>
      <c r="AM267" t="s">
        <v>1127</v>
      </c>
      <c r="AN267" t="s">
        <v>4053</v>
      </c>
      <c r="AO267" t="s">
        <v>4054</v>
      </c>
      <c r="AP267" t="s">
        <v>74</v>
      </c>
      <c r="AQ267" t="s">
        <v>74</v>
      </c>
      <c r="AR267" t="s">
        <v>4055</v>
      </c>
      <c r="AS267" t="s">
        <v>4056</v>
      </c>
      <c r="AT267" t="s">
        <v>3598</v>
      </c>
      <c r="AU267">
        <v>2002</v>
      </c>
      <c r="AV267">
        <v>12</v>
      </c>
      <c r="AW267">
        <v>2</v>
      </c>
      <c r="AX267" t="s">
        <v>74</v>
      </c>
      <c r="AY267" t="s">
        <v>74</v>
      </c>
      <c r="AZ267" t="s">
        <v>74</v>
      </c>
      <c r="BA267" t="s">
        <v>74</v>
      </c>
      <c r="BB267">
        <v>75</v>
      </c>
      <c r="BC267">
        <v>78</v>
      </c>
      <c r="BD267" t="s">
        <v>74</v>
      </c>
      <c r="BE267" t="s">
        <v>74</v>
      </c>
      <c r="BF267" t="s">
        <v>74</v>
      </c>
      <c r="BG267" t="s">
        <v>74</v>
      </c>
      <c r="BH267" t="s">
        <v>74</v>
      </c>
      <c r="BI267">
        <v>4</v>
      </c>
      <c r="BJ267" t="s">
        <v>1001</v>
      </c>
      <c r="BK267" t="s">
        <v>170</v>
      </c>
      <c r="BL267" t="s">
        <v>1001</v>
      </c>
      <c r="BM267" t="s">
        <v>4057</v>
      </c>
      <c r="BN267" t="s">
        <v>74</v>
      </c>
      <c r="BO267" t="s">
        <v>74</v>
      </c>
      <c r="BP267" t="s">
        <v>74</v>
      </c>
      <c r="BQ267" t="s">
        <v>74</v>
      </c>
      <c r="BR267" t="s">
        <v>107</v>
      </c>
      <c r="BS267" t="s">
        <v>4058</v>
      </c>
      <c r="BT267" t="str">
        <f>HYPERLINK("https%3A%2F%2Fwww.webofscience.com%2Fwos%2Fwoscc%2Ffull-record%2FWOS:000178092600005","View Full Record in Web of Science")</f>
        <v>View Full Record in Web of Science</v>
      </c>
    </row>
    <row r="268" spans="1:72" x14ac:dyDescent="0.15">
      <c r="A268" t="s">
        <v>72</v>
      </c>
      <c r="B268" t="s">
        <v>4059</v>
      </c>
      <c r="C268" t="s">
        <v>74</v>
      </c>
      <c r="D268" t="s">
        <v>74</v>
      </c>
      <c r="E268" t="s">
        <v>74</v>
      </c>
      <c r="F268" t="s">
        <v>4059</v>
      </c>
      <c r="G268" t="s">
        <v>74</v>
      </c>
      <c r="H268" t="s">
        <v>74</v>
      </c>
      <c r="I268" t="s">
        <v>4060</v>
      </c>
      <c r="J268" t="s">
        <v>4061</v>
      </c>
      <c r="K268" t="s">
        <v>74</v>
      </c>
      <c r="L268" t="s">
        <v>74</v>
      </c>
      <c r="M268" t="s">
        <v>77</v>
      </c>
      <c r="N268" t="s">
        <v>153</v>
      </c>
      <c r="O268" t="s">
        <v>74</v>
      </c>
      <c r="P268" t="s">
        <v>74</v>
      </c>
      <c r="Q268" t="s">
        <v>74</v>
      </c>
      <c r="R268" t="s">
        <v>74</v>
      </c>
      <c r="S268" t="s">
        <v>74</v>
      </c>
      <c r="T268" t="s">
        <v>74</v>
      </c>
      <c r="U268" t="s">
        <v>4062</v>
      </c>
      <c r="V268" t="s">
        <v>4063</v>
      </c>
      <c r="W268" t="s">
        <v>4064</v>
      </c>
      <c r="X268" t="s">
        <v>852</v>
      </c>
      <c r="Y268" t="s">
        <v>4065</v>
      </c>
      <c r="Z268" t="s">
        <v>74</v>
      </c>
      <c r="AA268" t="s">
        <v>74</v>
      </c>
      <c r="AB268" t="s">
        <v>74</v>
      </c>
      <c r="AC268" t="s">
        <v>74</v>
      </c>
      <c r="AD268" t="s">
        <v>74</v>
      </c>
      <c r="AE268" t="s">
        <v>74</v>
      </c>
      <c r="AF268" t="s">
        <v>74</v>
      </c>
      <c r="AG268">
        <v>38</v>
      </c>
      <c r="AH268">
        <v>25</v>
      </c>
      <c r="AI268">
        <v>26</v>
      </c>
      <c r="AJ268">
        <v>0</v>
      </c>
      <c r="AK268">
        <v>14</v>
      </c>
      <c r="AL268" t="s">
        <v>4066</v>
      </c>
      <c r="AM268" t="s">
        <v>4067</v>
      </c>
      <c r="AN268" t="s">
        <v>4068</v>
      </c>
      <c r="AO268" t="s">
        <v>4069</v>
      </c>
      <c r="AP268" t="s">
        <v>74</v>
      </c>
      <c r="AQ268" t="s">
        <v>74</v>
      </c>
      <c r="AR268" t="s">
        <v>4061</v>
      </c>
      <c r="AS268" t="s">
        <v>4070</v>
      </c>
      <c r="AT268" t="s">
        <v>3598</v>
      </c>
      <c r="AU268">
        <v>2002</v>
      </c>
      <c r="AV268">
        <v>144</v>
      </c>
      <c r="AW268">
        <v>2</v>
      </c>
      <c r="AX268" t="s">
        <v>74</v>
      </c>
      <c r="AY268" t="s">
        <v>74</v>
      </c>
      <c r="AZ268" t="s">
        <v>74</v>
      </c>
      <c r="BA268" t="s">
        <v>74</v>
      </c>
      <c r="BB268">
        <v>248</v>
      </c>
      <c r="BC268">
        <v>258</v>
      </c>
      <c r="BD268" t="s">
        <v>74</v>
      </c>
      <c r="BE268" t="s">
        <v>4071</v>
      </c>
      <c r="BF268" t="str">
        <f>HYPERLINK("http://dx.doi.org/10.1046/j.1474-919X.2002.00046.x","http://dx.doi.org/10.1046/j.1474-919X.2002.00046.x")</f>
        <v>http://dx.doi.org/10.1046/j.1474-919X.2002.00046.x</v>
      </c>
      <c r="BG268" t="s">
        <v>74</v>
      </c>
      <c r="BH268" t="s">
        <v>74</v>
      </c>
      <c r="BI268">
        <v>11</v>
      </c>
      <c r="BJ268" t="s">
        <v>4072</v>
      </c>
      <c r="BK268" t="s">
        <v>170</v>
      </c>
      <c r="BL268" t="s">
        <v>1001</v>
      </c>
      <c r="BM268" t="s">
        <v>4073</v>
      </c>
      <c r="BN268" t="s">
        <v>74</v>
      </c>
      <c r="BO268" t="s">
        <v>74</v>
      </c>
      <c r="BP268" t="s">
        <v>74</v>
      </c>
      <c r="BQ268" t="s">
        <v>74</v>
      </c>
      <c r="BR268" t="s">
        <v>107</v>
      </c>
      <c r="BS268" t="s">
        <v>4074</v>
      </c>
      <c r="BT268" t="str">
        <f>HYPERLINK("https%3A%2F%2Fwww.webofscience.com%2Fwos%2Fwoscc%2Ffull-record%2FWOS:000175064100008","View Full Record in Web of Science")</f>
        <v>View Full Record in Web of Science</v>
      </c>
    </row>
    <row r="269" spans="1:72" x14ac:dyDescent="0.15">
      <c r="A269" t="s">
        <v>72</v>
      </c>
      <c r="B269" t="s">
        <v>4075</v>
      </c>
      <c r="C269" t="s">
        <v>74</v>
      </c>
      <c r="D269" t="s">
        <v>74</v>
      </c>
      <c r="E269" t="s">
        <v>74</v>
      </c>
      <c r="F269" t="s">
        <v>4075</v>
      </c>
      <c r="G269" t="s">
        <v>74</v>
      </c>
      <c r="H269" t="s">
        <v>74</v>
      </c>
      <c r="I269" t="s">
        <v>4076</v>
      </c>
      <c r="J269" t="s">
        <v>4077</v>
      </c>
      <c r="K269" t="s">
        <v>74</v>
      </c>
      <c r="L269" t="s">
        <v>74</v>
      </c>
      <c r="M269" t="s">
        <v>77</v>
      </c>
      <c r="N269" t="s">
        <v>153</v>
      </c>
      <c r="O269" t="s">
        <v>74</v>
      </c>
      <c r="P269" t="s">
        <v>74</v>
      </c>
      <c r="Q269" t="s">
        <v>74</v>
      </c>
      <c r="R269" t="s">
        <v>74</v>
      </c>
      <c r="S269" t="s">
        <v>74</v>
      </c>
      <c r="T269" t="s">
        <v>4078</v>
      </c>
      <c r="U269" t="s">
        <v>4079</v>
      </c>
      <c r="V269" t="s">
        <v>4080</v>
      </c>
      <c r="W269" t="s">
        <v>4081</v>
      </c>
      <c r="X269" t="s">
        <v>4082</v>
      </c>
      <c r="Y269" t="s">
        <v>4083</v>
      </c>
      <c r="Z269" t="s">
        <v>4084</v>
      </c>
      <c r="AA269" t="s">
        <v>74</v>
      </c>
      <c r="AB269" t="s">
        <v>74</v>
      </c>
      <c r="AC269" t="s">
        <v>74</v>
      </c>
      <c r="AD269" t="s">
        <v>74</v>
      </c>
      <c r="AE269" t="s">
        <v>74</v>
      </c>
      <c r="AF269" t="s">
        <v>74</v>
      </c>
      <c r="AG269">
        <v>55</v>
      </c>
      <c r="AH269">
        <v>105</v>
      </c>
      <c r="AI269">
        <v>117</v>
      </c>
      <c r="AJ269">
        <v>0</v>
      </c>
      <c r="AK269">
        <v>20</v>
      </c>
      <c r="AL269" t="s">
        <v>1646</v>
      </c>
      <c r="AM269" t="s">
        <v>895</v>
      </c>
      <c r="AN269" t="s">
        <v>1647</v>
      </c>
      <c r="AO269" t="s">
        <v>4085</v>
      </c>
      <c r="AP269" t="s">
        <v>4086</v>
      </c>
      <c r="AQ269" t="s">
        <v>74</v>
      </c>
      <c r="AR269" t="s">
        <v>4087</v>
      </c>
      <c r="AS269" t="s">
        <v>4088</v>
      </c>
      <c r="AT269" t="s">
        <v>3598</v>
      </c>
      <c r="AU269">
        <v>2002</v>
      </c>
      <c r="AV269">
        <v>59</v>
      </c>
      <c r="AW269">
        <v>2</v>
      </c>
      <c r="AX269" t="s">
        <v>74</v>
      </c>
      <c r="AY269" t="s">
        <v>74</v>
      </c>
      <c r="AZ269" t="s">
        <v>74</v>
      </c>
      <c r="BA269" t="s">
        <v>74</v>
      </c>
      <c r="BB269">
        <v>293</v>
      </c>
      <c r="BC269">
        <v>313</v>
      </c>
      <c r="BD269" t="s">
        <v>74</v>
      </c>
      <c r="BE269" t="s">
        <v>4089</v>
      </c>
      <c r="BF269" t="str">
        <f>HYPERLINK("http://dx.doi.org/10.1006/jmsc.2001.1168","http://dx.doi.org/10.1006/jmsc.2001.1168")</f>
        <v>http://dx.doi.org/10.1006/jmsc.2001.1168</v>
      </c>
      <c r="BG269" t="s">
        <v>74</v>
      </c>
      <c r="BH269" t="s">
        <v>74</v>
      </c>
      <c r="BI269">
        <v>21</v>
      </c>
      <c r="BJ269" t="s">
        <v>4090</v>
      </c>
      <c r="BK269" t="s">
        <v>170</v>
      </c>
      <c r="BL269" t="s">
        <v>4090</v>
      </c>
      <c r="BM269" t="s">
        <v>4091</v>
      </c>
      <c r="BN269" t="s">
        <v>74</v>
      </c>
      <c r="BO269" t="s">
        <v>173</v>
      </c>
      <c r="BP269" t="s">
        <v>74</v>
      </c>
      <c r="BQ269" t="s">
        <v>74</v>
      </c>
      <c r="BR269" t="s">
        <v>107</v>
      </c>
      <c r="BS269" t="s">
        <v>4092</v>
      </c>
      <c r="BT269" t="str">
        <f>HYPERLINK("https%3A%2F%2Fwww.webofscience.com%2Fwos%2Fwoscc%2Ffull-record%2FWOS:000176335000005","View Full Record in Web of Science")</f>
        <v>View Full Record in Web of Science</v>
      </c>
    </row>
    <row r="270" spans="1:72" x14ac:dyDescent="0.15">
      <c r="A270" t="s">
        <v>72</v>
      </c>
      <c r="B270" t="s">
        <v>4093</v>
      </c>
      <c r="C270" t="s">
        <v>74</v>
      </c>
      <c r="D270" t="s">
        <v>74</v>
      </c>
      <c r="E270" t="s">
        <v>74</v>
      </c>
      <c r="F270" t="s">
        <v>4093</v>
      </c>
      <c r="G270" t="s">
        <v>74</v>
      </c>
      <c r="H270" t="s">
        <v>74</v>
      </c>
      <c r="I270" t="s">
        <v>4094</v>
      </c>
      <c r="J270" t="s">
        <v>4077</v>
      </c>
      <c r="K270" t="s">
        <v>74</v>
      </c>
      <c r="L270" t="s">
        <v>74</v>
      </c>
      <c r="M270" t="s">
        <v>77</v>
      </c>
      <c r="N270" t="s">
        <v>153</v>
      </c>
      <c r="O270" t="s">
        <v>74</v>
      </c>
      <c r="P270" t="s">
        <v>74</v>
      </c>
      <c r="Q270" t="s">
        <v>74</v>
      </c>
      <c r="R270" t="s">
        <v>74</v>
      </c>
      <c r="S270" t="s">
        <v>74</v>
      </c>
      <c r="T270" t="s">
        <v>4095</v>
      </c>
      <c r="U270" t="s">
        <v>4096</v>
      </c>
      <c r="V270" t="s">
        <v>4097</v>
      </c>
      <c r="W270" t="s">
        <v>4098</v>
      </c>
      <c r="X270" t="s">
        <v>4099</v>
      </c>
      <c r="Y270" t="s">
        <v>4100</v>
      </c>
      <c r="Z270" t="s">
        <v>4101</v>
      </c>
      <c r="AA270" t="s">
        <v>4102</v>
      </c>
      <c r="AB270" t="s">
        <v>4103</v>
      </c>
      <c r="AC270" t="s">
        <v>74</v>
      </c>
      <c r="AD270" t="s">
        <v>74</v>
      </c>
      <c r="AE270" t="s">
        <v>74</v>
      </c>
      <c r="AF270" t="s">
        <v>74</v>
      </c>
      <c r="AG270">
        <v>40</v>
      </c>
      <c r="AH270">
        <v>32</v>
      </c>
      <c r="AI270">
        <v>36</v>
      </c>
      <c r="AJ270">
        <v>0</v>
      </c>
      <c r="AK270">
        <v>9</v>
      </c>
      <c r="AL270" t="s">
        <v>1646</v>
      </c>
      <c r="AM270" t="s">
        <v>895</v>
      </c>
      <c r="AN270" t="s">
        <v>1647</v>
      </c>
      <c r="AO270" t="s">
        <v>4085</v>
      </c>
      <c r="AP270" t="s">
        <v>4086</v>
      </c>
      <c r="AQ270" t="s">
        <v>74</v>
      </c>
      <c r="AR270" t="s">
        <v>4087</v>
      </c>
      <c r="AS270" t="s">
        <v>4088</v>
      </c>
      <c r="AT270" t="s">
        <v>3598</v>
      </c>
      <c r="AU270">
        <v>2002</v>
      </c>
      <c r="AV270">
        <v>59</v>
      </c>
      <c r="AW270">
        <v>2</v>
      </c>
      <c r="AX270" t="s">
        <v>74</v>
      </c>
      <c r="AY270" t="s">
        <v>74</v>
      </c>
      <c r="AZ270" t="s">
        <v>74</v>
      </c>
      <c r="BA270" t="s">
        <v>74</v>
      </c>
      <c r="BB270">
        <v>370</v>
      </c>
      <c r="BC270">
        <v>379</v>
      </c>
      <c r="BD270" t="s">
        <v>74</v>
      </c>
      <c r="BE270" t="s">
        <v>4104</v>
      </c>
      <c r="BF270" t="str">
        <f>HYPERLINK("http://dx.doi.org/10.1006/jmsc.2001.1167","http://dx.doi.org/10.1006/jmsc.2001.1167")</f>
        <v>http://dx.doi.org/10.1006/jmsc.2001.1167</v>
      </c>
      <c r="BG270" t="s">
        <v>74</v>
      </c>
      <c r="BH270" t="s">
        <v>74</v>
      </c>
      <c r="BI270">
        <v>10</v>
      </c>
      <c r="BJ270" t="s">
        <v>4090</v>
      </c>
      <c r="BK270" t="s">
        <v>170</v>
      </c>
      <c r="BL270" t="s">
        <v>4090</v>
      </c>
      <c r="BM270" t="s">
        <v>4091</v>
      </c>
      <c r="BN270" t="s">
        <v>74</v>
      </c>
      <c r="BO270" t="s">
        <v>173</v>
      </c>
      <c r="BP270" t="s">
        <v>74</v>
      </c>
      <c r="BQ270" t="s">
        <v>74</v>
      </c>
      <c r="BR270" t="s">
        <v>107</v>
      </c>
      <c r="BS270" t="s">
        <v>4105</v>
      </c>
      <c r="BT270" t="str">
        <f>HYPERLINK("https%3A%2F%2Fwww.webofscience.com%2Fwos%2Fwoscc%2Ffull-record%2FWOS:000176335000011","View Full Record in Web of Science")</f>
        <v>View Full Record in Web of Science</v>
      </c>
    </row>
    <row r="271" spans="1:72" x14ac:dyDescent="0.15">
      <c r="A271" t="s">
        <v>72</v>
      </c>
      <c r="B271" t="s">
        <v>4106</v>
      </c>
      <c r="C271" t="s">
        <v>74</v>
      </c>
      <c r="D271" t="s">
        <v>74</v>
      </c>
      <c r="E271" t="s">
        <v>74</v>
      </c>
      <c r="F271" t="s">
        <v>4106</v>
      </c>
      <c r="G271" t="s">
        <v>74</v>
      </c>
      <c r="H271" t="s">
        <v>74</v>
      </c>
      <c r="I271" t="s">
        <v>4107</v>
      </c>
      <c r="J271" t="s">
        <v>1451</v>
      </c>
      <c r="K271" t="s">
        <v>74</v>
      </c>
      <c r="L271" t="s">
        <v>74</v>
      </c>
      <c r="M271" t="s">
        <v>77</v>
      </c>
      <c r="N271" t="s">
        <v>153</v>
      </c>
      <c r="O271" t="s">
        <v>74</v>
      </c>
      <c r="P271" t="s">
        <v>74</v>
      </c>
      <c r="Q271" t="s">
        <v>74</v>
      </c>
      <c r="R271" t="s">
        <v>74</v>
      </c>
      <c r="S271" t="s">
        <v>74</v>
      </c>
      <c r="T271" t="s">
        <v>4108</v>
      </c>
      <c r="U271" t="s">
        <v>4109</v>
      </c>
      <c r="V271" t="s">
        <v>4110</v>
      </c>
      <c r="W271" t="s">
        <v>4111</v>
      </c>
      <c r="X271" t="s">
        <v>4112</v>
      </c>
      <c r="Y271" t="s">
        <v>4113</v>
      </c>
      <c r="Z271" t="s">
        <v>74</v>
      </c>
      <c r="AA271" t="s">
        <v>4114</v>
      </c>
      <c r="AB271" t="s">
        <v>74</v>
      </c>
      <c r="AC271" t="s">
        <v>74</v>
      </c>
      <c r="AD271" t="s">
        <v>74</v>
      </c>
      <c r="AE271" t="s">
        <v>74</v>
      </c>
      <c r="AF271" t="s">
        <v>74</v>
      </c>
      <c r="AG271">
        <v>42</v>
      </c>
      <c r="AH271">
        <v>24</v>
      </c>
      <c r="AI271">
        <v>32</v>
      </c>
      <c r="AJ271">
        <v>1</v>
      </c>
      <c r="AK271">
        <v>30</v>
      </c>
      <c r="AL271" t="s">
        <v>1460</v>
      </c>
      <c r="AM271" t="s">
        <v>1127</v>
      </c>
      <c r="AN271" t="s">
        <v>1461</v>
      </c>
      <c r="AO271" t="s">
        <v>1462</v>
      </c>
      <c r="AP271" t="s">
        <v>74</v>
      </c>
      <c r="AQ271" t="s">
        <v>74</v>
      </c>
      <c r="AR271" t="s">
        <v>1463</v>
      </c>
      <c r="AS271" t="s">
        <v>1464</v>
      </c>
      <c r="AT271" t="s">
        <v>3598</v>
      </c>
      <c r="AU271">
        <v>2002</v>
      </c>
      <c r="AV271">
        <v>60</v>
      </c>
      <c r="AW271">
        <v>4</v>
      </c>
      <c r="AX271" t="s">
        <v>74</v>
      </c>
      <c r="AY271" t="s">
        <v>74</v>
      </c>
      <c r="AZ271" t="s">
        <v>74</v>
      </c>
      <c r="BA271" t="s">
        <v>74</v>
      </c>
      <c r="BB271">
        <v>785</v>
      </c>
      <c r="BC271">
        <v>809</v>
      </c>
      <c r="BD271" t="s">
        <v>74</v>
      </c>
      <c r="BE271" t="s">
        <v>4115</v>
      </c>
      <c r="BF271" t="str">
        <f>HYPERLINK("http://dx.doi.org/10.1006/jfbi.2002.1873","http://dx.doi.org/10.1006/jfbi.2002.1873")</f>
        <v>http://dx.doi.org/10.1006/jfbi.2002.1873</v>
      </c>
      <c r="BG271" t="s">
        <v>74</v>
      </c>
      <c r="BH271" t="s">
        <v>74</v>
      </c>
      <c r="BI271">
        <v>25</v>
      </c>
      <c r="BJ271" t="s">
        <v>1466</v>
      </c>
      <c r="BK271" t="s">
        <v>170</v>
      </c>
      <c r="BL271" t="s">
        <v>1466</v>
      </c>
      <c r="BM271" t="s">
        <v>4116</v>
      </c>
      <c r="BN271" t="s">
        <v>74</v>
      </c>
      <c r="BO271" t="s">
        <v>74</v>
      </c>
      <c r="BP271" t="s">
        <v>74</v>
      </c>
      <c r="BQ271" t="s">
        <v>74</v>
      </c>
      <c r="BR271" t="s">
        <v>107</v>
      </c>
      <c r="BS271" t="s">
        <v>4117</v>
      </c>
      <c r="BT271" t="str">
        <f>HYPERLINK("https%3A%2F%2Fwww.webofscience.com%2Fwos%2Fwoscc%2Ffull-record%2FWOS:000176542400001","View Full Record in Web of Science")</f>
        <v>View Full Record in Web of Science</v>
      </c>
    </row>
    <row r="272" spans="1:72" x14ac:dyDescent="0.15">
      <c r="A272" t="s">
        <v>72</v>
      </c>
      <c r="B272" t="s">
        <v>4118</v>
      </c>
      <c r="C272" t="s">
        <v>74</v>
      </c>
      <c r="D272" t="s">
        <v>74</v>
      </c>
      <c r="E272" t="s">
        <v>74</v>
      </c>
      <c r="F272" t="s">
        <v>4118</v>
      </c>
      <c r="G272" t="s">
        <v>74</v>
      </c>
      <c r="H272" t="s">
        <v>74</v>
      </c>
      <c r="I272" t="s">
        <v>4119</v>
      </c>
      <c r="J272" t="s">
        <v>4120</v>
      </c>
      <c r="K272" t="s">
        <v>74</v>
      </c>
      <c r="L272" t="s">
        <v>74</v>
      </c>
      <c r="M272" t="s">
        <v>77</v>
      </c>
      <c r="N272" t="s">
        <v>153</v>
      </c>
      <c r="O272" t="s">
        <v>74</v>
      </c>
      <c r="P272" t="s">
        <v>74</v>
      </c>
      <c r="Q272" t="s">
        <v>74</v>
      </c>
      <c r="R272" t="s">
        <v>74</v>
      </c>
      <c r="S272" t="s">
        <v>74</v>
      </c>
      <c r="T272" t="s">
        <v>4121</v>
      </c>
      <c r="U272" t="s">
        <v>4122</v>
      </c>
      <c r="V272" t="s">
        <v>4123</v>
      </c>
      <c r="W272" t="s">
        <v>4124</v>
      </c>
      <c r="X272" t="s">
        <v>4125</v>
      </c>
      <c r="Y272" t="s">
        <v>4126</v>
      </c>
      <c r="Z272" t="s">
        <v>4127</v>
      </c>
      <c r="AA272" t="s">
        <v>4128</v>
      </c>
      <c r="AB272" t="s">
        <v>4129</v>
      </c>
      <c r="AC272" t="s">
        <v>74</v>
      </c>
      <c r="AD272" t="s">
        <v>74</v>
      </c>
      <c r="AE272" t="s">
        <v>74</v>
      </c>
      <c r="AF272" t="s">
        <v>74</v>
      </c>
      <c r="AG272">
        <v>15</v>
      </c>
      <c r="AH272">
        <v>5</v>
      </c>
      <c r="AI272">
        <v>6</v>
      </c>
      <c r="AJ272">
        <v>0</v>
      </c>
      <c r="AK272">
        <v>0</v>
      </c>
      <c r="AL272" t="s">
        <v>161</v>
      </c>
      <c r="AM272" t="s">
        <v>162</v>
      </c>
      <c r="AN272" t="s">
        <v>163</v>
      </c>
      <c r="AO272" t="s">
        <v>4130</v>
      </c>
      <c r="AP272" t="s">
        <v>4131</v>
      </c>
      <c r="AQ272" t="s">
        <v>74</v>
      </c>
      <c r="AR272" t="s">
        <v>4132</v>
      </c>
      <c r="AS272" t="s">
        <v>4133</v>
      </c>
      <c r="AT272" t="s">
        <v>3598</v>
      </c>
      <c r="AU272">
        <v>2002</v>
      </c>
      <c r="AV272">
        <v>107</v>
      </c>
      <c r="AW272" t="s">
        <v>4134</v>
      </c>
      <c r="AX272" t="s">
        <v>74</v>
      </c>
      <c r="AY272" t="s">
        <v>74</v>
      </c>
      <c r="AZ272" t="s">
        <v>74</v>
      </c>
      <c r="BA272" t="s">
        <v>74</v>
      </c>
      <c r="BB272" t="s">
        <v>74</v>
      </c>
      <c r="BC272" t="s">
        <v>74</v>
      </c>
      <c r="BD272">
        <v>1038</v>
      </c>
      <c r="BE272" t="s">
        <v>4135</v>
      </c>
      <c r="BF272" t="str">
        <f>HYPERLINK("http://dx.doi.org/10.1029/2001JA000063","http://dx.doi.org/10.1029/2001JA000063")</f>
        <v>http://dx.doi.org/10.1029/2001JA000063</v>
      </c>
      <c r="BG272" t="s">
        <v>74</v>
      </c>
      <c r="BH272" t="s">
        <v>74</v>
      </c>
      <c r="BI272">
        <v>14</v>
      </c>
      <c r="BJ272" t="s">
        <v>1856</v>
      </c>
      <c r="BK272" t="s">
        <v>170</v>
      </c>
      <c r="BL272" t="s">
        <v>1856</v>
      </c>
      <c r="BM272" t="s">
        <v>4136</v>
      </c>
      <c r="BN272" t="s">
        <v>74</v>
      </c>
      <c r="BO272" t="s">
        <v>173</v>
      </c>
      <c r="BP272" t="s">
        <v>74</v>
      </c>
      <c r="BQ272" t="s">
        <v>74</v>
      </c>
      <c r="BR272" t="s">
        <v>107</v>
      </c>
      <c r="BS272" t="s">
        <v>4137</v>
      </c>
      <c r="BT272" t="str">
        <f>HYPERLINK("https%3A%2F%2Fwww.webofscience.com%2Fwos%2Fwoscc%2Ffull-record%2FWOS:000178908800010","View Full Record in Web of Science")</f>
        <v>View Full Record in Web of Science</v>
      </c>
    </row>
    <row r="273" spans="1:72" x14ac:dyDescent="0.15">
      <c r="A273" t="s">
        <v>72</v>
      </c>
      <c r="B273" t="s">
        <v>4138</v>
      </c>
      <c r="C273" t="s">
        <v>74</v>
      </c>
      <c r="D273" t="s">
        <v>74</v>
      </c>
      <c r="E273" t="s">
        <v>74</v>
      </c>
      <c r="F273" t="s">
        <v>4138</v>
      </c>
      <c r="G273" t="s">
        <v>74</v>
      </c>
      <c r="H273" t="s">
        <v>74</v>
      </c>
      <c r="I273" t="s">
        <v>4139</v>
      </c>
      <c r="J273" t="s">
        <v>4140</v>
      </c>
      <c r="K273" t="s">
        <v>74</v>
      </c>
      <c r="L273" t="s">
        <v>74</v>
      </c>
      <c r="M273" t="s">
        <v>77</v>
      </c>
      <c r="N273" t="s">
        <v>153</v>
      </c>
      <c r="O273" t="s">
        <v>74</v>
      </c>
      <c r="P273" t="s">
        <v>74</v>
      </c>
      <c r="Q273" t="s">
        <v>74</v>
      </c>
      <c r="R273" t="s">
        <v>74</v>
      </c>
      <c r="S273" t="s">
        <v>74</v>
      </c>
      <c r="T273" t="s">
        <v>74</v>
      </c>
      <c r="U273" t="s">
        <v>74</v>
      </c>
      <c r="V273" t="s">
        <v>4141</v>
      </c>
      <c r="W273" t="s">
        <v>4142</v>
      </c>
      <c r="X273" t="s">
        <v>74</v>
      </c>
      <c r="Y273" t="s">
        <v>4143</v>
      </c>
      <c r="Z273" t="s">
        <v>4144</v>
      </c>
      <c r="AA273" t="s">
        <v>74</v>
      </c>
      <c r="AB273" t="s">
        <v>74</v>
      </c>
      <c r="AC273" t="s">
        <v>74</v>
      </c>
      <c r="AD273" t="s">
        <v>74</v>
      </c>
      <c r="AE273" t="s">
        <v>74</v>
      </c>
      <c r="AF273" t="s">
        <v>74</v>
      </c>
      <c r="AG273">
        <v>21</v>
      </c>
      <c r="AH273">
        <v>9</v>
      </c>
      <c r="AI273">
        <v>11</v>
      </c>
      <c r="AJ273">
        <v>0</v>
      </c>
      <c r="AK273">
        <v>4</v>
      </c>
      <c r="AL273" t="s">
        <v>3579</v>
      </c>
      <c r="AM273" t="s">
        <v>3580</v>
      </c>
      <c r="AN273" t="s">
        <v>3581</v>
      </c>
      <c r="AO273" t="s">
        <v>4145</v>
      </c>
      <c r="AP273" t="s">
        <v>4146</v>
      </c>
      <c r="AQ273" t="s">
        <v>74</v>
      </c>
      <c r="AR273" t="s">
        <v>4147</v>
      </c>
      <c r="AS273" t="s">
        <v>4148</v>
      </c>
      <c r="AT273" t="s">
        <v>3598</v>
      </c>
      <c r="AU273">
        <v>2002</v>
      </c>
      <c r="AV273">
        <v>88</v>
      </c>
      <c r="AW273">
        <v>2</v>
      </c>
      <c r="AX273" t="s">
        <v>74</v>
      </c>
      <c r="AY273" t="s">
        <v>74</v>
      </c>
      <c r="AZ273" t="s">
        <v>74</v>
      </c>
      <c r="BA273" t="s">
        <v>74</v>
      </c>
      <c r="BB273">
        <v>330</v>
      </c>
      <c r="BC273">
        <v>336</v>
      </c>
      <c r="BD273" t="s">
        <v>74</v>
      </c>
      <c r="BE273" t="s">
        <v>4149</v>
      </c>
      <c r="BF273" t="str">
        <f>HYPERLINK("http://dx.doi.org/10.2307/3285584","http://dx.doi.org/10.2307/3285584")</f>
        <v>http://dx.doi.org/10.2307/3285584</v>
      </c>
      <c r="BG273" t="s">
        <v>74</v>
      </c>
      <c r="BH273" t="s">
        <v>74</v>
      </c>
      <c r="BI273">
        <v>7</v>
      </c>
      <c r="BJ273" t="s">
        <v>203</v>
      </c>
      <c r="BK273" t="s">
        <v>170</v>
      </c>
      <c r="BL273" t="s">
        <v>203</v>
      </c>
      <c r="BM273" t="s">
        <v>4150</v>
      </c>
      <c r="BN273">
        <v>12054007</v>
      </c>
      <c r="BO273" t="s">
        <v>74</v>
      </c>
      <c r="BP273" t="s">
        <v>74</v>
      </c>
      <c r="BQ273" t="s">
        <v>74</v>
      </c>
      <c r="BR273" t="s">
        <v>107</v>
      </c>
      <c r="BS273" t="s">
        <v>4151</v>
      </c>
      <c r="BT273" t="str">
        <f>HYPERLINK("https%3A%2F%2Fwww.webofscience.com%2Fwos%2Fwoscc%2Ffull-record%2FWOS:000175294300021","View Full Record in Web of Science")</f>
        <v>View Full Record in Web of Science</v>
      </c>
    </row>
    <row r="274" spans="1:72" x14ac:dyDescent="0.15">
      <c r="A274" t="s">
        <v>72</v>
      </c>
      <c r="B274" t="s">
        <v>4152</v>
      </c>
      <c r="C274" t="s">
        <v>74</v>
      </c>
      <c r="D274" t="s">
        <v>74</v>
      </c>
      <c r="E274" t="s">
        <v>74</v>
      </c>
      <c r="F274" t="s">
        <v>4152</v>
      </c>
      <c r="G274" t="s">
        <v>74</v>
      </c>
      <c r="H274" t="s">
        <v>74</v>
      </c>
      <c r="I274" t="s">
        <v>4153</v>
      </c>
      <c r="J274" t="s">
        <v>1657</v>
      </c>
      <c r="K274" t="s">
        <v>74</v>
      </c>
      <c r="L274" t="s">
        <v>74</v>
      </c>
      <c r="M274" t="s">
        <v>77</v>
      </c>
      <c r="N274" t="s">
        <v>153</v>
      </c>
      <c r="O274" t="s">
        <v>74</v>
      </c>
      <c r="P274" t="s">
        <v>74</v>
      </c>
      <c r="Q274" t="s">
        <v>74</v>
      </c>
      <c r="R274" t="s">
        <v>74</v>
      </c>
      <c r="S274" t="s">
        <v>74</v>
      </c>
      <c r="T274" t="s">
        <v>74</v>
      </c>
      <c r="U274" t="s">
        <v>4154</v>
      </c>
      <c r="V274" t="s">
        <v>4155</v>
      </c>
      <c r="W274" t="s">
        <v>4156</v>
      </c>
      <c r="X274" t="s">
        <v>4157</v>
      </c>
      <c r="Y274" t="s">
        <v>74</v>
      </c>
      <c r="Z274" t="s">
        <v>4158</v>
      </c>
      <c r="AA274" t="s">
        <v>74</v>
      </c>
      <c r="AB274" t="s">
        <v>74</v>
      </c>
      <c r="AC274" t="s">
        <v>74</v>
      </c>
      <c r="AD274" t="s">
        <v>74</v>
      </c>
      <c r="AE274" t="s">
        <v>74</v>
      </c>
      <c r="AF274" t="s">
        <v>74</v>
      </c>
      <c r="AG274">
        <v>70</v>
      </c>
      <c r="AH274">
        <v>34</v>
      </c>
      <c r="AI274">
        <v>38</v>
      </c>
      <c r="AJ274">
        <v>0</v>
      </c>
      <c r="AK274">
        <v>13</v>
      </c>
      <c r="AL274" t="s">
        <v>1439</v>
      </c>
      <c r="AM274" t="s">
        <v>1440</v>
      </c>
      <c r="AN274" t="s">
        <v>1441</v>
      </c>
      <c r="AO274" t="s">
        <v>1666</v>
      </c>
      <c r="AP274" t="s">
        <v>1694</v>
      </c>
      <c r="AQ274" t="s">
        <v>74</v>
      </c>
      <c r="AR274" t="s">
        <v>1667</v>
      </c>
      <c r="AS274" t="s">
        <v>1668</v>
      </c>
      <c r="AT274" t="s">
        <v>3598</v>
      </c>
      <c r="AU274">
        <v>2002</v>
      </c>
      <c r="AV274">
        <v>32</v>
      </c>
      <c r="AW274">
        <v>4</v>
      </c>
      <c r="AX274" t="s">
        <v>74</v>
      </c>
      <c r="AY274" t="s">
        <v>74</v>
      </c>
      <c r="AZ274" t="s">
        <v>74</v>
      </c>
      <c r="BA274" t="s">
        <v>74</v>
      </c>
      <c r="BB274">
        <v>1194</v>
      </c>
      <c r="BC274">
        <v>1208</v>
      </c>
      <c r="BD274" t="s">
        <v>74</v>
      </c>
      <c r="BE274" t="s">
        <v>4159</v>
      </c>
      <c r="BF274" t="str">
        <f>HYPERLINK("http://dx.doi.org/10.1175/1520-0485(2002)032&lt;1194:OTROSI&gt;2.0.CO;2","http://dx.doi.org/10.1175/1520-0485(2002)032&lt;1194:OTROSI&gt;2.0.CO;2")</f>
        <v>http://dx.doi.org/10.1175/1520-0485(2002)032&lt;1194:OTROSI&gt;2.0.CO;2</v>
      </c>
      <c r="BG274" t="s">
        <v>74</v>
      </c>
      <c r="BH274" t="s">
        <v>74</v>
      </c>
      <c r="BI274">
        <v>15</v>
      </c>
      <c r="BJ274" t="s">
        <v>1155</v>
      </c>
      <c r="BK274" t="s">
        <v>170</v>
      </c>
      <c r="BL274" t="s">
        <v>1155</v>
      </c>
      <c r="BM274" t="s">
        <v>4160</v>
      </c>
      <c r="BN274" t="s">
        <v>74</v>
      </c>
      <c r="BO274" t="s">
        <v>461</v>
      </c>
      <c r="BP274" t="s">
        <v>74</v>
      </c>
      <c r="BQ274" t="s">
        <v>74</v>
      </c>
      <c r="BR274" t="s">
        <v>107</v>
      </c>
      <c r="BS274" t="s">
        <v>4161</v>
      </c>
      <c r="BT274" t="str">
        <f>HYPERLINK("https%3A%2F%2Fwww.webofscience.com%2Fwos%2Fwoscc%2Ffull-record%2FWOS:000174627600006","View Full Record in Web of Science")</f>
        <v>View Full Record in Web of Science</v>
      </c>
    </row>
    <row r="275" spans="1:72" x14ac:dyDescent="0.15">
      <c r="A275" t="s">
        <v>72</v>
      </c>
      <c r="B275" t="s">
        <v>4162</v>
      </c>
      <c r="C275" t="s">
        <v>74</v>
      </c>
      <c r="D275" t="s">
        <v>74</v>
      </c>
      <c r="E275" t="s">
        <v>74</v>
      </c>
      <c r="F275" t="s">
        <v>4162</v>
      </c>
      <c r="G275" t="s">
        <v>74</v>
      </c>
      <c r="H275" t="s">
        <v>74</v>
      </c>
      <c r="I275" t="s">
        <v>4163</v>
      </c>
      <c r="J275" t="s">
        <v>4164</v>
      </c>
      <c r="K275" t="s">
        <v>74</v>
      </c>
      <c r="L275" t="s">
        <v>74</v>
      </c>
      <c r="M275" t="s">
        <v>77</v>
      </c>
      <c r="N275" t="s">
        <v>153</v>
      </c>
      <c r="O275" t="s">
        <v>74</v>
      </c>
      <c r="P275" t="s">
        <v>74</v>
      </c>
      <c r="Q275" t="s">
        <v>74</v>
      </c>
      <c r="R275" t="s">
        <v>74</v>
      </c>
      <c r="S275" t="s">
        <v>74</v>
      </c>
      <c r="T275" t="s">
        <v>4165</v>
      </c>
      <c r="U275" t="s">
        <v>4166</v>
      </c>
      <c r="V275" t="s">
        <v>4167</v>
      </c>
      <c r="W275" t="s">
        <v>4168</v>
      </c>
      <c r="X275" t="s">
        <v>4169</v>
      </c>
      <c r="Y275" t="s">
        <v>4170</v>
      </c>
      <c r="Z275" t="s">
        <v>74</v>
      </c>
      <c r="AA275" t="s">
        <v>4171</v>
      </c>
      <c r="AB275" t="s">
        <v>4172</v>
      </c>
      <c r="AC275" t="s">
        <v>74</v>
      </c>
      <c r="AD275" t="s">
        <v>74</v>
      </c>
      <c r="AE275" t="s">
        <v>74</v>
      </c>
      <c r="AF275" t="s">
        <v>74</v>
      </c>
      <c r="AG275">
        <v>32</v>
      </c>
      <c r="AH275">
        <v>25</v>
      </c>
      <c r="AI275">
        <v>27</v>
      </c>
      <c r="AJ275">
        <v>2</v>
      </c>
      <c r="AK275">
        <v>15</v>
      </c>
      <c r="AL275" t="s">
        <v>4173</v>
      </c>
      <c r="AM275" t="s">
        <v>1287</v>
      </c>
      <c r="AN275" t="s">
        <v>4174</v>
      </c>
      <c r="AO275" t="s">
        <v>4175</v>
      </c>
      <c r="AP275" t="s">
        <v>74</v>
      </c>
      <c r="AQ275" t="s">
        <v>74</v>
      </c>
      <c r="AR275" t="s">
        <v>4176</v>
      </c>
      <c r="AS275" t="s">
        <v>4177</v>
      </c>
      <c r="AT275" t="s">
        <v>3598</v>
      </c>
      <c r="AU275">
        <v>2002</v>
      </c>
      <c r="AV275">
        <v>115</v>
      </c>
      <c r="AW275">
        <v>1118</v>
      </c>
      <c r="AX275" t="s">
        <v>74</v>
      </c>
      <c r="AY275" t="s">
        <v>74</v>
      </c>
      <c r="AZ275" t="s">
        <v>74</v>
      </c>
      <c r="BA275" t="s">
        <v>74</v>
      </c>
      <c r="BB275">
        <v>99</v>
      </c>
      <c r="BC275">
        <v>106</v>
      </c>
      <c r="BD275" t="s">
        <v>74</v>
      </c>
      <c r="BE275" t="s">
        <v>4178</v>
      </c>
      <c r="BF275" t="str">
        <f>HYPERLINK("http://dx.doi.org/10.1007/s102650200014","http://dx.doi.org/10.1007/s102650200014")</f>
        <v>http://dx.doi.org/10.1007/s102650200014</v>
      </c>
      <c r="BG275" t="s">
        <v>74</v>
      </c>
      <c r="BH275" t="s">
        <v>74</v>
      </c>
      <c r="BI275">
        <v>8</v>
      </c>
      <c r="BJ275" t="s">
        <v>2396</v>
      </c>
      <c r="BK275" t="s">
        <v>170</v>
      </c>
      <c r="BL275" t="s">
        <v>2396</v>
      </c>
      <c r="BM275" t="s">
        <v>4179</v>
      </c>
      <c r="BN275">
        <v>12884132</v>
      </c>
      <c r="BO275" t="s">
        <v>74</v>
      </c>
      <c r="BP275" t="s">
        <v>74</v>
      </c>
      <c r="BQ275" t="s">
        <v>74</v>
      </c>
      <c r="BR275" t="s">
        <v>107</v>
      </c>
      <c r="BS275" t="s">
        <v>4180</v>
      </c>
      <c r="BT275" t="str">
        <f>HYPERLINK("https%3A%2F%2Fwww.webofscience.com%2Fwos%2Fwoscc%2Ffull-record%2FWOS:000175084600004","View Full Record in Web of Science")</f>
        <v>View Full Record in Web of Science</v>
      </c>
    </row>
    <row r="276" spans="1:72" x14ac:dyDescent="0.15">
      <c r="A276" t="s">
        <v>72</v>
      </c>
      <c r="B276" t="s">
        <v>4181</v>
      </c>
      <c r="C276" t="s">
        <v>74</v>
      </c>
      <c r="D276" t="s">
        <v>74</v>
      </c>
      <c r="E276" t="s">
        <v>74</v>
      </c>
      <c r="F276" t="s">
        <v>4181</v>
      </c>
      <c r="G276" t="s">
        <v>74</v>
      </c>
      <c r="H276" t="s">
        <v>74</v>
      </c>
      <c r="I276" t="s">
        <v>4182</v>
      </c>
      <c r="J276" t="s">
        <v>4183</v>
      </c>
      <c r="K276" t="s">
        <v>74</v>
      </c>
      <c r="L276" t="s">
        <v>74</v>
      </c>
      <c r="M276" t="s">
        <v>77</v>
      </c>
      <c r="N276" t="s">
        <v>78</v>
      </c>
      <c r="O276" t="s">
        <v>4184</v>
      </c>
      <c r="P276" t="s">
        <v>4185</v>
      </c>
      <c r="Q276" t="s">
        <v>4186</v>
      </c>
      <c r="R276" t="s">
        <v>74</v>
      </c>
      <c r="S276" t="s">
        <v>74</v>
      </c>
      <c r="T276" t="s">
        <v>4187</v>
      </c>
      <c r="U276" t="s">
        <v>74</v>
      </c>
      <c r="V276" t="s">
        <v>4188</v>
      </c>
      <c r="W276" t="s">
        <v>4189</v>
      </c>
      <c r="X276" t="s">
        <v>74</v>
      </c>
      <c r="Y276" t="s">
        <v>4190</v>
      </c>
      <c r="Z276" t="s">
        <v>74</v>
      </c>
      <c r="AA276" t="s">
        <v>74</v>
      </c>
      <c r="AB276" t="s">
        <v>74</v>
      </c>
      <c r="AC276" t="s">
        <v>74</v>
      </c>
      <c r="AD276" t="s">
        <v>74</v>
      </c>
      <c r="AE276" t="s">
        <v>74</v>
      </c>
      <c r="AF276" t="s">
        <v>74</v>
      </c>
      <c r="AG276">
        <v>0</v>
      </c>
      <c r="AH276">
        <v>24</v>
      </c>
      <c r="AI276">
        <v>30</v>
      </c>
      <c r="AJ276">
        <v>0</v>
      </c>
      <c r="AK276">
        <v>20</v>
      </c>
      <c r="AL276" t="s">
        <v>132</v>
      </c>
      <c r="AM276" t="s">
        <v>91</v>
      </c>
      <c r="AN276" t="s">
        <v>133</v>
      </c>
      <c r="AO276" t="s">
        <v>4191</v>
      </c>
      <c r="AP276" t="s">
        <v>74</v>
      </c>
      <c r="AQ276" t="s">
        <v>74</v>
      </c>
      <c r="AR276" t="s">
        <v>4192</v>
      </c>
      <c r="AS276" t="s">
        <v>4193</v>
      </c>
      <c r="AT276" t="s">
        <v>3978</v>
      </c>
      <c r="AU276">
        <v>2002</v>
      </c>
      <c r="AV276">
        <v>106</v>
      </c>
      <c r="AW276" t="s">
        <v>98</v>
      </c>
      <c r="AX276" t="s">
        <v>74</v>
      </c>
      <c r="AY276" t="s">
        <v>74</v>
      </c>
      <c r="AZ276" t="s">
        <v>99</v>
      </c>
      <c r="BA276" t="s">
        <v>74</v>
      </c>
      <c r="BB276">
        <v>370</v>
      </c>
      <c r="BC276">
        <v>376</v>
      </c>
      <c r="BD276" t="s">
        <v>4194</v>
      </c>
      <c r="BE276" t="s">
        <v>4195</v>
      </c>
      <c r="BF276" t="str">
        <f>HYPERLINK("http://dx.doi.org/10.1016/S0378-7753(01)01024-2","http://dx.doi.org/10.1016/S0378-7753(01)01024-2")</f>
        <v>http://dx.doi.org/10.1016/S0378-7753(01)01024-2</v>
      </c>
      <c r="BG276" t="s">
        <v>74</v>
      </c>
      <c r="BH276" t="s">
        <v>74</v>
      </c>
      <c r="BI276">
        <v>7</v>
      </c>
      <c r="BJ276" t="s">
        <v>4196</v>
      </c>
      <c r="BK276" t="s">
        <v>744</v>
      </c>
      <c r="BL276" t="s">
        <v>4197</v>
      </c>
      <c r="BM276" t="s">
        <v>4198</v>
      </c>
      <c r="BN276" t="s">
        <v>74</v>
      </c>
      <c r="BO276" t="s">
        <v>74</v>
      </c>
      <c r="BP276" t="s">
        <v>74</v>
      </c>
      <c r="BQ276" t="s">
        <v>74</v>
      </c>
      <c r="BR276" t="s">
        <v>107</v>
      </c>
      <c r="BS276" t="s">
        <v>4199</v>
      </c>
      <c r="BT276" t="str">
        <f>HYPERLINK("https%3A%2F%2Fwww.webofscience.com%2Fwos%2Fwoscc%2Ffull-record%2FWOS:000175342800051","View Full Record in Web of Science")</f>
        <v>View Full Record in Web of Science</v>
      </c>
    </row>
    <row r="277" spans="1:72" x14ac:dyDescent="0.15">
      <c r="A277" t="s">
        <v>72</v>
      </c>
      <c r="B277" t="s">
        <v>4200</v>
      </c>
      <c r="C277" t="s">
        <v>74</v>
      </c>
      <c r="D277" t="s">
        <v>74</v>
      </c>
      <c r="E277" t="s">
        <v>74</v>
      </c>
      <c r="F277" t="s">
        <v>4200</v>
      </c>
      <c r="G277" t="s">
        <v>74</v>
      </c>
      <c r="H277" t="s">
        <v>74</v>
      </c>
      <c r="I277" t="s">
        <v>4201</v>
      </c>
      <c r="J277" t="s">
        <v>4202</v>
      </c>
      <c r="K277" t="s">
        <v>74</v>
      </c>
      <c r="L277" t="s">
        <v>74</v>
      </c>
      <c r="M277" t="s">
        <v>77</v>
      </c>
      <c r="N277" t="s">
        <v>153</v>
      </c>
      <c r="O277" t="s">
        <v>74</v>
      </c>
      <c r="P277" t="s">
        <v>74</v>
      </c>
      <c r="Q277" t="s">
        <v>74</v>
      </c>
      <c r="R277" t="s">
        <v>74</v>
      </c>
      <c r="S277" t="s">
        <v>74</v>
      </c>
      <c r="T277" t="s">
        <v>74</v>
      </c>
      <c r="U277" t="s">
        <v>4203</v>
      </c>
      <c r="V277" t="s">
        <v>4204</v>
      </c>
      <c r="W277" t="s">
        <v>4205</v>
      </c>
      <c r="X277" t="s">
        <v>4206</v>
      </c>
      <c r="Y277" t="s">
        <v>4207</v>
      </c>
      <c r="Z277" t="s">
        <v>74</v>
      </c>
      <c r="AA277" t="s">
        <v>4208</v>
      </c>
      <c r="AB277" t="s">
        <v>4209</v>
      </c>
      <c r="AC277" t="s">
        <v>74</v>
      </c>
      <c r="AD277" t="s">
        <v>74</v>
      </c>
      <c r="AE277" t="s">
        <v>74</v>
      </c>
      <c r="AF277" t="s">
        <v>74</v>
      </c>
      <c r="AG277">
        <v>61</v>
      </c>
      <c r="AH277">
        <v>133</v>
      </c>
      <c r="AI277">
        <v>143</v>
      </c>
      <c r="AJ277">
        <v>0</v>
      </c>
      <c r="AK277">
        <v>13</v>
      </c>
      <c r="AL277" t="s">
        <v>1439</v>
      </c>
      <c r="AM277" t="s">
        <v>1440</v>
      </c>
      <c r="AN277" t="s">
        <v>1441</v>
      </c>
      <c r="AO277" t="s">
        <v>4210</v>
      </c>
      <c r="AP277" t="s">
        <v>74</v>
      </c>
      <c r="AQ277" t="s">
        <v>74</v>
      </c>
      <c r="AR277" t="s">
        <v>4211</v>
      </c>
      <c r="AS277" t="s">
        <v>4212</v>
      </c>
      <c r="AT277" t="s">
        <v>3598</v>
      </c>
      <c r="AU277">
        <v>2002</v>
      </c>
      <c r="AV277">
        <v>59</v>
      </c>
      <c r="AW277">
        <v>7</v>
      </c>
      <c r="AX277" t="s">
        <v>74</v>
      </c>
      <c r="AY277" t="s">
        <v>74</v>
      </c>
      <c r="AZ277" t="s">
        <v>74</v>
      </c>
      <c r="BA277" t="s">
        <v>74</v>
      </c>
      <c r="BB277">
        <v>1198</v>
      </c>
      <c r="BC277">
        <v>1212</v>
      </c>
      <c r="BD277" t="s">
        <v>74</v>
      </c>
      <c r="BE277" t="s">
        <v>4213</v>
      </c>
      <c r="BF277" t="str">
        <f>HYPERLINK("http://dx.doi.org/10.1175/1520-0469(2002)059&lt;1198:RBKBSA&gt;2.0.CO;2","http://dx.doi.org/10.1175/1520-0469(2002)059&lt;1198:RBKBSA&gt;2.0.CO;2")</f>
        <v>http://dx.doi.org/10.1175/1520-0469(2002)059&lt;1198:RBKBSA&gt;2.0.CO;2</v>
      </c>
      <c r="BG277" t="s">
        <v>74</v>
      </c>
      <c r="BH277" t="s">
        <v>74</v>
      </c>
      <c r="BI277">
        <v>15</v>
      </c>
      <c r="BJ277" t="s">
        <v>403</v>
      </c>
      <c r="BK277" t="s">
        <v>170</v>
      </c>
      <c r="BL277" t="s">
        <v>403</v>
      </c>
      <c r="BM277" t="s">
        <v>4214</v>
      </c>
      <c r="BN277" t="s">
        <v>74</v>
      </c>
      <c r="BO277" t="s">
        <v>173</v>
      </c>
      <c r="BP277" t="s">
        <v>74</v>
      </c>
      <c r="BQ277" t="s">
        <v>74</v>
      </c>
      <c r="BR277" t="s">
        <v>107</v>
      </c>
      <c r="BS277" t="s">
        <v>4215</v>
      </c>
      <c r="BT277" t="str">
        <f>HYPERLINK("https%3A%2F%2Fwww.webofscience.com%2Fwos%2Fwoscc%2Ffull-record%2FWOS:000174525200004","View Full Record in Web of Science")</f>
        <v>View Full Record in Web of Science</v>
      </c>
    </row>
    <row r="278" spans="1:72" x14ac:dyDescent="0.15">
      <c r="A278" t="s">
        <v>72</v>
      </c>
      <c r="B278" t="s">
        <v>4216</v>
      </c>
      <c r="C278" t="s">
        <v>74</v>
      </c>
      <c r="D278" t="s">
        <v>74</v>
      </c>
      <c r="E278" t="s">
        <v>74</v>
      </c>
      <c r="F278" t="s">
        <v>4216</v>
      </c>
      <c r="G278" t="s">
        <v>74</v>
      </c>
      <c r="H278" t="s">
        <v>74</v>
      </c>
      <c r="I278" t="s">
        <v>4217</v>
      </c>
      <c r="J278" t="s">
        <v>4218</v>
      </c>
      <c r="K278" t="s">
        <v>74</v>
      </c>
      <c r="L278" t="s">
        <v>74</v>
      </c>
      <c r="M278" t="s">
        <v>77</v>
      </c>
      <c r="N278" t="s">
        <v>153</v>
      </c>
      <c r="O278" t="s">
        <v>74</v>
      </c>
      <c r="P278" t="s">
        <v>74</v>
      </c>
      <c r="Q278" t="s">
        <v>74</v>
      </c>
      <c r="R278" t="s">
        <v>74</v>
      </c>
      <c r="S278" t="s">
        <v>74</v>
      </c>
      <c r="T278" t="s">
        <v>74</v>
      </c>
      <c r="U278" t="s">
        <v>4219</v>
      </c>
      <c r="V278" t="s">
        <v>4220</v>
      </c>
      <c r="W278" t="s">
        <v>4221</v>
      </c>
      <c r="X278" t="s">
        <v>4222</v>
      </c>
      <c r="Y278" t="s">
        <v>4223</v>
      </c>
      <c r="Z278" t="s">
        <v>4224</v>
      </c>
      <c r="AA278" t="s">
        <v>74</v>
      </c>
      <c r="AB278" t="s">
        <v>4225</v>
      </c>
      <c r="AC278" t="s">
        <v>74</v>
      </c>
      <c r="AD278" t="s">
        <v>74</v>
      </c>
      <c r="AE278" t="s">
        <v>74</v>
      </c>
      <c r="AF278" t="s">
        <v>74</v>
      </c>
      <c r="AG278">
        <v>48</v>
      </c>
      <c r="AH278">
        <v>16</v>
      </c>
      <c r="AI278">
        <v>18</v>
      </c>
      <c r="AJ278">
        <v>0</v>
      </c>
      <c r="AK278">
        <v>6</v>
      </c>
      <c r="AL278" t="s">
        <v>753</v>
      </c>
      <c r="AM278" t="s">
        <v>195</v>
      </c>
      <c r="AN278" t="s">
        <v>803</v>
      </c>
      <c r="AO278" t="s">
        <v>4226</v>
      </c>
      <c r="AP278" t="s">
        <v>4227</v>
      </c>
      <c r="AQ278" t="s">
        <v>74</v>
      </c>
      <c r="AR278" t="s">
        <v>4228</v>
      </c>
      <c r="AS278" t="s">
        <v>4229</v>
      </c>
      <c r="AT278" t="s">
        <v>3598</v>
      </c>
      <c r="AU278">
        <v>2002</v>
      </c>
      <c r="AV278">
        <v>82</v>
      </c>
      <c r="AW278">
        <v>2</v>
      </c>
      <c r="AX278" t="s">
        <v>74</v>
      </c>
      <c r="AY278" t="s">
        <v>74</v>
      </c>
      <c r="AZ278" t="s">
        <v>74</v>
      </c>
      <c r="BA278" t="s">
        <v>74</v>
      </c>
      <c r="BB278">
        <v>279</v>
      </c>
      <c r="BC278">
        <v>294</v>
      </c>
      <c r="BD278" t="s">
        <v>74</v>
      </c>
      <c r="BE278" t="s">
        <v>4230</v>
      </c>
      <c r="BF278" t="str">
        <f>HYPERLINK("http://dx.doi.org/10.1017/S0025315402005465","http://dx.doi.org/10.1017/S0025315402005465")</f>
        <v>http://dx.doi.org/10.1017/S0025315402005465</v>
      </c>
      <c r="BG278" t="s">
        <v>74</v>
      </c>
      <c r="BH278" t="s">
        <v>74</v>
      </c>
      <c r="BI278">
        <v>16</v>
      </c>
      <c r="BJ278" t="s">
        <v>1919</v>
      </c>
      <c r="BK278" t="s">
        <v>170</v>
      </c>
      <c r="BL278" t="s">
        <v>1919</v>
      </c>
      <c r="BM278" t="s">
        <v>4231</v>
      </c>
      <c r="BN278" t="s">
        <v>74</v>
      </c>
      <c r="BO278" t="s">
        <v>74</v>
      </c>
      <c r="BP278" t="s">
        <v>74</v>
      </c>
      <c r="BQ278" t="s">
        <v>74</v>
      </c>
      <c r="BR278" t="s">
        <v>107</v>
      </c>
      <c r="BS278" t="s">
        <v>4232</v>
      </c>
      <c r="BT278" t="str">
        <f>HYPERLINK("https%3A%2F%2Fwww.webofscience.com%2Fwos%2Fwoscc%2Ffull-record%2FWOS:000175257400015","View Full Record in Web of Science")</f>
        <v>View Full Record in Web of Science</v>
      </c>
    </row>
    <row r="279" spans="1:72" x14ac:dyDescent="0.15">
      <c r="A279" t="s">
        <v>72</v>
      </c>
      <c r="B279" t="s">
        <v>4233</v>
      </c>
      <c r="C279" t="s">
        <v>74</v>
      </c>
      <c r="D279" t="s">
        <v>74</v>
      </c>
      <c r="E279" t="s">
        <v>74</v>
      </c>
      <c r="F279" t="s">
        <v>4233</v>
      </c>
      <c r="G279" t="s">
        <v>74</v>
      </c>
      <c r="H279" t="s">
        <v>74</v>
      </c>
      <c r="I279" t="s">
        <v>4234</v>
      </c>
      <c r="J279" t="s">
        <v>4235</v>
      </c>
      <c r="K279" t="s">
        <v>74</v>
      </c>
      <c r="L279" t="s">
        <v>74</v>
      </c>
      <c r="M279" t="s">
        <v>77</v>
      </c>
      <c r="N279" t="s">
        <v>153</v>
      </c>
      <c r="O279" t="s">
        <v>74</v>
      </c>
      <c r="P279" t="s">
        <v>74</v>
      </c>
      <c r="Q279" t="s">
        <v>74</v>
      </c>
      <c r="R279" t="s">
        <v>74</v>
      </c>
      <c r="S279" t="s">
        <v>74</v>
      </c>
      <c r="T279" t="s">
        <v>74</v>
      </c>
      <c r="U279" t="s">
        <v>4236</v>
      </c>
      <c r="V279" t="s">
        <v>4237</v>
      </c>
      <c r="W279" t="s">
        <v>4238</v>
      </c>
      <c r="X279" t="s">
        <v>4239</v>
      </c>
      <c r="Y279" t="s">
        <v>4240</v>
      </c>
      <c r="Z279" t="s">
        <v>4241</v>
      </c>
      <c r="AA279" t="s">
        <v>74</v>
      </c>
      <c r="AB279" t="s">
        <v>74</v>
      </c>
      <c r="AC279" t="s">
        <v>74</v>
      </c>
      <c r="AD279" t="s">
        <v>74</v>
      </c>
      <c r="AE279" t="s">
        <v>74</v>
      </c>
      <c r="AF279" t="s">
        <v>74</v>
      </c>
      <c r="AG279">
        <v>33</v>
      </c>
      <c r="AH279">
        <v>1</v>
      </c>
      <c r="AI279">
        <v>6</v>
      </c>
      <c r="AJ279">
        <v>0</v>
      </c>
      <c r="AK279">
        <v>2</v>
      </c>
      <c r="AL279" t="s">
        <v>4242</v>
      </c>
      <c r="AM279" t="s">
        <v>1287</v>
      </c>
      <c r="AN279" t="s">
        <v>4243</v>
      </c>
      <c r="AO279" t="s">
        <v>4244</v>
      </c>
      <c r="AP279" t="s">
        <v>4245</v>
      </c>
      <c r="AQ279" t="s">
        <v>74</v>
      </c>
      <c r="AR279" t="s">
        <v>4246</v>
      </c>
      <c r="AS279" t="s">
        <v>4247</v>
      </c>
      <c r="AT279" t="s">
        <v>3598</v>
      </c>
      <c r="AU279">
        <v>2002</v>
      </c>
      <c r="AV279">
        <v>80</v>
      </c>
      <c r="AW279">
        <v>2</v>
      </c>
      <c r="AX279" t="s">
        <v>74</v>
      </c>
      <c r="AY279" t="s">
        <v>74</v>
      </c>
      <c r="AZ279" t="s">
        <v>74</v>
      </c>
      <c r="BA279" t="s">
        <v>74</v>
      </c>
      <c r="BB279">
        <v>161</v>
      </c>
      <c r="BC279">
        <v>170</v>
      </c>
      <c r="BD279" t="s">
        <v>74</v>
      </c>
      <c r="BE279" t="s">
        <v>4248</v>
      </c>
      <c r="BF279" t="str">
        <f>HYPERLINK("http://dx.doi.org/10.2151/jmsj.80.161","http://dx.doi.org/10.2151/jmsj.80.161")</f>
        <v>http://dx.doi.org/10.2151/jmsj.80.161</v>
      </c>
      <c r="BG279" t="s">
        <v>74</v>
      </c>
      <c r="BH279" t="s">
        <v>74</v>
      </c>
      <c r="BI279">
        <v>10</v>
      </c>
      <c r="BJ279" t="s">
        <v>403</v>
      </c>
      <c r="BK279" t="s">
        <v>170</v>
      </c>
      <c r="BL279" t="s">
        <v>403</v>
      </c>
      <c r="BM279" t="s">
        <v>4249</v>
      </c>
      <c r="BN279" t="s">
        <v>74</v>
      </c>
      <c r="BO279" t="s">
        <v>173</v>
      </c>
      <c r="BP279" t="s">
        <v>74</v>
      </c>
      <c r="BQ279" t="s">
        <v>74</v>
      </c>
      <c r="BR279" t="s">
        <v>107</v>
      </c>
      <c r="BS279" t="s">
        <v>4250</v>
      </c>
      <c r="BT279" t="str">
        <f>HYPERLINK("https%3A%2F%2Fwww.webofscience.com%2Fwos%2Fwoscc%2Ffull-record%2FWOS:000176263800002","View Full Record in Web of Science")</f>
        <v>View Full Record in Web of Science</v>
      </c>
    </row>
    <row r="280" spans="1:72" x14ac:dyDescent="0.15">
      <c r="A280" t="s">
        <v>72</v>
      </c>
      <c r="B280" t="s">
        <v>4251</v>
      </c>
      <c r="C280" t="s">
        <v>74</v>
      </c>
      <c r="D280" t="s">
        <v>74</v>
      </c>
      <c r="E280" t="s">
        <v>74</v>
      </c>
      <c r="F280" t="s">
        <v>4251</v>
      </c>
      <c r="G280" t="s">
        <v>74</v>
      </c>
      <c r="H280" t="s">
        <v>74</v>
      </c>
      <c r="I280" t="s">
        <v>4252</v>
      </c>
      <c r="J280" t="s">
        <v>4253</v>
      </c>
      <c r="K280" t="s">
        <v>74</v>
      </c>
      <c r="L280" t="s">
        <v>74</v>
      </c>
      <c r="M280" t="s">
        <v>77</v>
      </c>
      <c r="N280" t="s">
        <v>153</v>
      </c>
      <c r="O280" t="s">
        <v>74</v>
      </c>
      <c r="P280" t="s">
        <v>74</v>
      </c>
      <c r="Q280" t="s">
        <v>74</v>
      </c>
      <c r="R280" t="s">
        <v>74</v>
      </c>
      <c r="S280" t="s">
        <v>74</v>
      </c>
      <c r="T280" t="s">
        <v>4254</v>
      </c>
      <c r="U280" t="s">
        <v>4255</v>
      </c>
      <c r="V280" t="s">
        <v>4256</v>
      </c>
      <c r="W280" t="s">
        <v>4257</v>
      </c>
      <c r="X280" t="s">
        <v>4258</v>
      </c>
      <c r="Y280" t="s">
        <v>4259</v>
      </c>
      <c r="Z280" t="s">
        <v>4260</v>
      </c>
      <c r="AA280" t="s">
        <v>4261</v>
      </c>
      <c r="AB280" t="s">
        <v>4262</v>
      </c>
      <c r="AC280" t="s">
        <v>74</v>
      </c>
      <c r="AD280" t="s">
        <v>74</v>
      </c>
      <c r="AE280" t="s">
        <v>74</v>
      </c>
      <c r="AF280" t="s">
        <v>74</v>
      </c>
      <c r="AG280">
        <v>49</v>
      </c>
      <c r="AH280">
        <v>51</v>
      </c>
      <c r="AI280">
        <v>60</v>
      </c>
      <c r="AJ280">
        <v>0</v>
      </c>
      <c r="AK280">
        <v>10</v>
      </c>
      <c r="AL280" t="s">
        <v>394</v>
      </c>
      <c r="AM280" t="s">
        <v>395</v>
      </c>
      <c r="AN280" t="s">
        <v>396</v>
      </c>
      <c r="AO280" t="s">
        <v>4263</v>
      </c>
      <c r="AP280" t="s">
        <v>4264</v>
      </c>
      <c r="AQ280" t="s">
        <v>74</v>
      </c>
      <c r="AR280" t="s">
        <v>4265</v>
      </c>
      <c r="AS280" t="s">
        <v>4266</v>
      </c>
      <c r="AT280" t="s">
        <v>3598</v>
      </c>
      <c r="AU280">
        <v>2002</v>
      </c>
      <c r="AV280">
        <v>256</v>
      </c>
      <c r="AW280" t="s">
        <v>74</v>
      </c>
      <c r="AX280">
        <v>4</v>
      </c>
      <c r="AY280" t="s">
        <v>74</v>
      </c>
      <c r="AZ280" t="s">
        <v>74</v>
      </c>
      <c r="BA280" t="s">
        <v>74</v>
      </c>
      <c r="BB280">
        <v>547</v>
      </c>
      <c r="BC280">
        <v>556</v>
      </c>
      <c r="BD280" t="s">
        <v>74</v>
      </c>
      <c r="BE280" t="s">
        <v>4267</v>
      </c>
      <c r="BF280" t="str">
        <f>HYPERLINK("http://dx.doi.org/10.1017/S0952836902000596","http://dx.doi.org/10.1017/S0952836902000596")</f>
        <v>http://dx.doi.org/10.1017/S0952836902000596</v>
      </c>
      <c r="BG280" t="s">
        <v>74</v>
      </c>
      <c r="BH280" t="s">
        <v>74</v>
      </c>
      <c r="BI280">
        <v>10</v>
      </c>
      <c r="BJ280" t="s">
        <v>1001</v>
      </c>
      <c r="BK280" t="s">
        <v>170</v>
      </c>
      <c r="BL280" t="s">
        <v>1001</v>
      </c>
      <c r="BM280" t="s">
        <v>4268</v>
      </c>
      <c r="BN280" t="s">
        <v>74</v>
      </c>
      <c r="BO280" t="s">
        <v>74</v>
      </c>
      <c r="BP280" t="s">
        <v>74</v>
      </c>
      <c r="BQ280" t="s">
        <v>74</v>
      </c>
      <c r="BR280" t="s">
        <v>107</v>
      </c>
      <c r="BS280" t="s">
        <v>4269</v>
      </c>
      <c r="BT280" t="str">
        <f>HYPERLINK("https%3A%2F%2Fwww.webofscience.com%2Fwos%2Fwoscc%2Ffull-record%2FWOS:000175060900014","View Full Record in Web of Science")</f>
        <v>View Full Record in Web of Science</v>
      </c>
    </row>
    <row r="281" spans="1:72" x14ac:dyDescent="0.15">
      <c r="A281" t="s">
        <v>72</v>
      </c>
      <c r="B281" t="s">
        <v>4270</v>
      </c>
      <c r="C281" t="s">
        <v>74</v>
      </c>
      <c r="D281" t="s">
        <v>74</v>
      </c>
      <c r="E281" t="s">
        <v>74</v>
      </c>
      <c r="F281" t="s">
        <v>4270</v>
      </c>
      <c r="G281" t="s">
        <v>74</v>
      </c>
      <c r="H281" t="s">
        <v>74</v>
      </c>
      <c r="I281" t="s">
        <v>4271</v>
      </c>
      <c r="J281" t="s">
        <v>4272</v>
      </c>
      <c r="K281" t="s">
        <v>74</v>
      </c>
      <c r="L281" t="s">
        <v>74</v>
      </c>
      <c r="M281" t="s">
        <v>77</v>
      </c>
      <c r="N281" t="s">
        <v>153</v>
      </c>
      <c r="O281" t="s">
        <v>74</v>
      </c>
      <c r="P281" t="s">
        <v>74</v>
      </c>
      <c r="Q281" t="s">
        <v>74</v>
      </c>
      <c r="R281" t="s">
        <v>74</v>
      </c>
      <c r="S281" t="s">
        <v>74</v>
      </c>
      <c r="T281" t="s">
        <v>4273</v>
      </c>
      <c r="U281" t="s">
        <v>4274</v>
      </c>
      <c r="V281" t="s">
        <v>4275</v>
      </c>
      <c r="W281" t="s">
        <v>4276</v>
      </c>
      <c r="X281" t="s">
        <v>4277</v>
      </c>
      <c r="Y281" t="s">
        <v>4278</v>
      </c>
      <c r="Z281" t="s">
        <v>4279</v>
      </c>
      <c r="AA281" t="s">
        <v>74</v>
      </c>
      <c r="AB281" t="s">
        <v>74</v>
      </c>
      <c r="AC281" t="s">
        <v>74</v>
      </c>
      <c r="AD281" t="s">
        <v>74</v>
      </c>
      <c r="AE281" t="s">
        <v>74</v>
      </c>
      <c r="AF281" t="s">
        <v>74</v>
      </c>
      <c r="AG281">
        <v>70</v>
      </c>
      <c r="AH281">
        <v>25</v>
      </c>
      <c r="AI281">
        <v>28</v>
      </c>
      <c r="AJ281">
        <v>0</v>
      </c>
      <c r="AK281">
        <v>18</v>
      </c>
      <c r="AL281" t="s">
        <v>894</v>
      </c>
      <c r="AM281" t="s">
        <v>895</v>
      </c>
      <c r="AN281" t="s">
        <v>896</v>
      </c>
      <c r="AO281" t="s">
        <v>4280</v>
      </c>
      <c r="AP281" t="s">
        <v>4281</v>
      </c>
      <c r="AQ281" t="s">
        <v>74</v>
      </c>
      <c r="AR281" t="s">
        <v>4282</v>
      </c>
      <c r="AS281" t="s">
        <v>4283</v>
      </c>
      <c r="AT281" t="s">
        <v>3598</v>
      </c>
      <c r="AU281">
        <v>2002</v>
      </c>
      <c r="AV281">
        <v>19</v>
      </c>
      <c r="AW281">
        <v>4</v>
      </c>
      <c r="AX281" t="s">
        <v>74</v>
      </c>
      <c r="AY281" t="s">
        <v>74</v>
      </c>
      <c r="AZ281" t="s">
        <v>74</v>
      </c>
      <c r="BA281" t="s">
        <v>74</v>
      </c>
      <c r="BB281">
        <v>417</v>
      </c>
      <c r="BC281">
        <v>443</v>
      </c>
      <c r="BD281" t="s">
        <v>4284</v>
      </c>
      <c r="BE281" t="s">
        <v>4285</v>
      </c>
      <c r="BF281" t="str">
        <f>HYPERLINK("http://dx.doi.org/10.1016/S0264-8172(02)00024-7","http://dx.doi.org/10.1016/S0264-8172(02)00024-7")</f>
        <v>http://dx.doi.org/10.1016/S0264-8172(02)00024-7</v>
      </c>
      <c r="BG281" t="s">
        <v>74</v>
      </c>
      <c r="BH281" t="s">
        <v>74</v>
      </c>
      <c r="BI281">
        <v>27</v>
      </c>
      <c r="BJ281" t="s">
        <v>608</v>
      </c>
      <c r="BK281" t="s">
        <v>170</v>
      </c>
      <c r="BL281" t="s">
        <v>439</v>
      </c>
      <c r="BM281" t="s">
        <v>4286</v>
      </c>
      <c r="BN281" t="s">
        <v>74</v>
      </c>
      <c r="BO281" t="s">
        <v>74</v>
      </c>
      <c r="BP281" t="s">
        <v>74</v>
      </c>
      <c r="BQ281" t="s">
        <v>74</v>
      </c>
      <c r="BR281" t="s">
        <v>107</v>
      </c>
      <c r="BS281" t="s">
        <v>4287</v>
      </c>
      <c r="BT281" t="str">
        <f>HYPERLINK("https%3A%2F%2Fwww.webofscience.com%2Fwos%2Fwoscc%2Ffull-record%2FWOS:000177529600003","View Full Record in Web of Science")</f>
        <v>View Full Record in Web of Science</v>
      </c>
    </row>
    <row r="282" spans="1:72" x14ac:dyDescent="0.15">
      <c r="A282" t="s">
        <v>72</v>
      </c>
      <c r="B282" t="s">
        <v>4288</v>
      </c>
      <c r="C282" t="s">
        <v>74</v>
      </c>
      <c r="D282" t="s">
        <v>74</v>
      </c>
      <c r="E282" t="s">
        <v>74</v>
      </c>
      <c r="F282" t="s">
        <v>4288</v>
      </c>
      <c r="G282" t="s">
        <v>74</v>
      </c>
      <c r="H282" t="s">
        <v>74</v>
      </c>
      <c r="I282" t="s">
        <v>4289</v>
      </c>
      <c r="J282" t="s">
        <v>4290</v>
      </c>
      <c r="K282" t="s">
        <v>74</v>
      </c>
      <c r="L282" t="s">
        <v>74</v>
      </c>
      <c r="M282" t="s">
        <v>77</v>
      </c>
      <c r="N282" t="s">
        <v>153</v>
      </c>
      <c r="O282" t="s">
        <v>74</v>
      </c>
      <c r="P282" t="s">
        <v>74</v>
      </c>
      <c r="Q282" t="s">
        <v>74</v>
      </c>
      <c r="R282" t="s">
        <v>74</v>
      </c>
      <c r="S282" t="s">
        <v>74</v>
      </c>
      <c r="T282" t="s">
        <v>74</v>
      </c>
      <c r="U282" t="s">
        <v>4291</v>
      </c>
      <c r="V282" t="s">
        <v>4292</v>
      </c>
      <c r="W282" t="s">
        <v>4293</v>
      </c>
      <c r="X282" t="s">
        <v>871</v>
      </c>
      <c r="Y282" t="s">
        <v>4294</v>
      </c>
      <c r="Z282" t="s">
        <v>4295</v>
      </c>
      <c r="AA282" t="s">
        <v>4296</v>
      </c>
      <c r="AB282" t="s">
        <v>4297</v>
      </c>
      <c r="AC282" t="s">
        <v>74</v>
      </c>
      <c r="AD282" t="s">
        <v>74</v>
      </c>
      <c r="AE282" t="s">
        <v>74</v>
      </c>
      <c r="AF282" t="s">
        <v>74</v>
      </c>
      <c r="AG282">
        <v>38</v>
      </c>
      <c r="AH282">
        <v>65</v>
      </c>
      <c r="AI282">
        <v>72</v>
      </c>
      <c r="AJ282">
        <v>1</v>
      </c>
      <c r="AK282">
        <v>12</v>
      </c>
      <c r="AL282" t="s">
        <v>2732</v>
      </c>
      <c r="AM282" t="s">
        <v>2733</v>
      </c>
      <c r="AN282" t="s">
        <v>2734</v>
      </c>
      <c r="AO282" t="s">
        <v>4298</v>
      </c>
      <c r="AP282" t="s">
        <v>4299</v>
      </c>
      <c r="AQ282" t="s">
        <v>74</v>
      </c>
      <c r="AR282" t="s">
        <v>4300</v>
      </c>
      <c r="AS282" t="s">
        <v>4301</v>
      </c>
      <c r="AT282" t="s">
        <v>3598</v>
      </c>
      <c r="AU282">
        <v>2002</v>
      </c>
      <c r="AV282">
        <v>140</v>
      </c>
      <c r="AW282">
        <v>4</v>
      </c>
      <c r="AX282" t="s">
        <v>74</v>
      </c>
      <c r="AY282" t="s">
        <v>74</v>
      </c>
      <c r="AZ282" t="s">
        <v>74</v>
      </c>
      <c r="BA282" t="s">
        <v>74</v>
      </c>
      <c r="BB282">
        <v>747</v>
      </c>
      <c r="BC282">
        <v>754</v>
      </c>
      <c r="BD282" t="s">
        <v>74</v>
      </c>
      <c r="BE282" t="s">
        <v>4302</v>
      </c>
      <c r="BF282" t="str">
        <f>HYPERLINK("http://dx.doi.org/10.1007/s00227-001-0746-9","http://dx.doi.org/10.1007/s00227-001-0746-9")</f>
        <v>http://dx.doi.org/10.1007/s00227-001-0746-9</v>
      </c>
      <c r="BG282" t="s">
        <v>74</v>
      </c>
      <c r="BH282" t="s">
        <v>74</v>
      </c>
      <c r="BI282">
        <v>8</v>
      </c>
      <c r="BJ282" t="s">
        <v>1919</v>
      </c>
      <c r="BK282" t="s">
        <v>170</v>
      </c>
      <c r="BL282" t="s">
        <v>1919</v>
      </c>
      <c r="BM282" t="s">
        <v>4303</v>
      </c>
      <c r="BN282" t="s">
        <v>74</v>
      </c>
      <c r="BO282" t="s">
        <v>74</v>
      </c>
      <c r="BP282" t="s">
        <v>74</v>
      </c>
      <c r="BQ282" t="s">
        <v>74</v>
      </c>
      <c r="BR282" t="s">
        <v>107</v>
      </c>
      <c r="BS282" t="s">
        <v>4304</v>
      </c>
      <c r="BT282" t="str">
        <f>HYPERLINK("https%3A%2F%2Fwww.webofscience.com%2Fwos%2Fwoscc%2Ffull-record%2FWOS:000175819500010","View Full Record in Web of Science")</f>
        <v>View Full Record in Web of Science</v>
      </c>
    </row>
    <row r="283" spans="1:72" x14ac:dyDescent="0.15">
      <c r="A283" t="s">
        <v>72</v>
      </c>
      <c r="B283" t="s">
        <v>4305</v>
      </c>
      <c r="C283" t="s">
        <v>74</v>
      </c>
      <c r="D283" t="s">
        <v>74</v>
      </c>
      <c r="E283" t="s">
        <v>74</v>
      </c>
      <c r="F283" t="s">
        <v>4305</v>
      </c>
      <c r="G283" t="s">
        <v>74</v>
      </c>
      <c r="H283" t="s">
        <v>74</v>
      </c>
      <c r="I283" t="s">
        <v>4306</v>
      </c>
      <c r="J283" t="s">
        <v>4290</v>
      </c>
      <c r="K283" t="s">
        <v>74</v>
      </c>
      <c r="L283" t="s">
        <v>74</v>
      </c>
      <c r="M283" t="s">
        <v>77</v>
      </c>
      <c r="N283" t="s">
        <v>153</v>
      </c>
      <c r="O283" t="s">
        <v>74</v>
      </c>
      <c r="P283" t="s">
        <v>74</v>
      </c>
      <c r="Q283" t="s">
        <v>74</v>
      </c>
      <c r="R283" t="s">
        <v>74</v>
      </c>
      <c r="S283" t="s">
        <v>74</v>
      </c>
      <c r="T283" t="s">
        <v>74</v>
      </c>
      <c r="U283" t="s">
        <v>4307</v>
      </c>
      <c r="V283" t="s">
        <v>4308</v>
      </c>
      <c r="W283" t="s">
        <v>4309</v>
      </c>
      <c r="X283" t="s">
        <v>4310</v>
      </c>
      <c r="Y283" t="s">
        <v>4311</v>
      </c>
      <c r="Z283" t="s">
        <v>74</v>
      </c>
      <c r="AA283" t="s">
        <v>4312</v>
      </c>
      <c r="AB283" t="s">
        <v>74</v>
      </c>
      <c r="AC283" t="s">
        <v>74</v>
      </c>
      <c r="AD283" t="s">
        <v>74</v>
      </c>
      <c r="AE283" t="s">
        <v>74</v>
      </c>
      <c r="AF283" t="s">
        <v>74</v>
      </c>
      <c r="AG283">
        <v>41</v>
      </c>
      <c r="AH283">
        <v>107</v>
      </c>
      <c r="AI283">
        <v>119</v>
      </c>
      <c r="AJ283">
        <v>0</v>
      </c>
      <c r="AK283">
        <v>12</v>
      </c>
      <c r="AL283" t="s">
        <v>290</v>
      </c>
      <c r="AM283" t="s">
        <v>195</v>
      </c>
      <c r="AN283" t="s">
        <v>291</v>
      </c>
      <c r="AO283" t="s">
        <v>4298</v>
      </c>
      <c r="AP283" t="s">
        <v>74</v>
      </c>
      <c r="AQ283" t="s">
        <v>74</v>
      </c>
      <c r="AR283" t="s">
        <v>4300</v>
      </c>
      <c r="AS283" t="s">
        <v>4301</v>
      </c>
      <c r="AT283" t="s">
        <v>3598</v>
      </c>
      <c r="AU283">
        <v>2002</v>
      </c>
      <c r="AV283">
        <v>140</v>
      </c>
      <c r="AW283">
        <v>4</v>
      </c>
      <c r="AX283" t="s">
        <v>74</v>
      </c>
      <c r="AY283" t="s">
        <v>74</v>
      </c>
      <c r="AZ283" t="s">
        <v>74</v>
      </c>
      <c r="BA283" t="s">
        <v>74</v>
      </c>
      <c r="BB283">
        <v>815</v>
      </c>
      <c r="BC283">
        <v>822</v>
      </c>
      <c r="BD283" t="s">
        <v>74</v>
      </c>
      <c r="BE283" t="s">
        <v>4313</v>
      </c>
      <c r="BF283" t="str">
        <f>HYPERLINK("http://dx.doi.org/10.1007/s00227-001-0752-y","http://dx.doi.org/10.1007/s00227-001-0752-y")</f>
        <v>http://dx.doi.org/10.1007/s00227-001-0752-y</v>
      </c>
      <c r="BG283" t="s">
        <v>74</v>
      </c>
      <c r="BH283" t="s">
        <v>74</v>
      </c>
      <c r="BI283">
        <v>8</v>
      </c>
      <c r="BJ283" t="s">
        <v>1919</v>
      </c>
      <c r="BK283" t="s">
        <v>170</v>
      </c>
      <c r="BL283" t="s">
        <v>1919</v>
      </c>
      <c r="BM283" t="s">
        <v>4303</v>
      </c>
      <c r="BN283" t="s">
        <v>74</v>
      </c>
      <c r="BO283" t="s">
        <v>74</v>
      </c>
      <c r="BP283" t="s">
        <v>74</v>
      </c>
      <c r="BQ283" t="s">
        <v>74</v>
      </c>
      <c r="BR283" t="s">
        <v>107</v>
      </c>
      <c r="BS283" t="s">
        <v>4314</v>
      </c>
      <c r="BT283" t="str">
        <f>HYPERLINK("https%3A%2F%2Fwww.webofscience.com%2Fwos%2Fwoscc%2Ffull-record%2FWOS:000175819500017","View Full Record in Web of Science")</f>
        <v>View Full Record in Web of Science</v>
      </c>
    </row>
    <row r="284" spans="1:72" x14ac:dyDescent="0.15">
      <c r="A284" t="s">
        <v>72</v>
      </c>
      <c r="B284" t="s">
        <v>4315</v>
      </c>
      <c r="C284" t="s">
        <v>74</v>
      </c>
      <c r="D284" t="s">
        <v>74</v>
      </c>
      <c r="E284" t="s">
        <v>74</v>
      </c>
      <c r="F284" t="s">
        <v>4315</v>
      </c>
      <c r="G284" t="s">
        <v>74</v>
      </c>
      <c r="H284" t="s">
        <v>74</v>
      </c>
      <c r="I284" t="s">
        <v>4316</v>
      </c>
      <c r="J284" t="s">
        <v>4317</v>
      </c>
      <c r="K284" t="s">
        <v>74</v>
      </c>
      <c r="L284" t="s">
        <v>74</v>
      </c>
      <c r="M284" t="s">
        <v>77</v>
      </c>
      <c r="N284" t="s">
        <v>153</v>
      </c>
      <c r="O284" t="s">
        <v>74</v>
      </c>
      <c r="P284" t="s">
        <v>74</v>
      </c>
      <c r="Q284" t="s">
        <v>74</v>
      </c>
      <c r="R284" t="s">
        <v>74</v>
      </c>
      <c r="S284" t="s">
        <v>74</v>
      </c>
      <c r="T284" t="s">
        <v>4318</v>
      </c>
      <c r="U284" t="s">
        <v>4319</v>
      </c>
      <c r="V284" t="s">
        <v>4320</v>
      </c>
      <c r="W284" t="s">
        <v>4321</v>
      </c>
      <c r="X284" t="s">
        <v>4322</v>
      </c>
      <c r="Y284" t="s">
        <v>4323</v>
      </c>
      <c r="Z284" t="s">
        <v>4324</v>
      </c>
      <c r="AA284" t="s">
        <v>74</v>
      </c>
      <c r="AB284" t="s">
        <v>74</v>
      </c>
      <c r="AC284" t="s">
        <v>74</v>
      </c>
      <c r="AD284" t="s">
        <v>74</v>
      </c>
      <c r="AE284" t="s">
        <v>74</v>
      </c>
      <c r="AF284" t="s">
        <v>74</v>
      </c>
      <c r="AG284">
        <v>78</v>
      </c>
      <c r="AH284">
        <v>38</v>
      </c>
      <c r="AI284">
        <v>49</v>
      </c>
      <c r="AJ284">
        <v>0</v>
      </c>
      <c r="AK284">
        <v>23</v>
      </c>
      <c r="AL284" t="s">
        <v>90</v>
      </c>
      <c r="AM284" t="s">
        <v>91</v>
      </c>
      <c r="AN284" t="s">
        <v>92</v>
      </c>
      <c r="AO284" t="s">
        <v>4325</v>
      </c>
      <c r="AP284" t="s">
        <v>4326</v>
      </c>
      <c r="AQ284" t="s">
        <v>74</v>
      </c>
      <c r="AR284" t="s">
        <v>4327</v>
      </c>
      <c r="AS284" t="s">
        <v>4328</v>
      </c>
      <c r="AT284" t="s">
        <v>3598</v>
      </c>
      <c r="AU284">
        <v>2002</v>
      </c>
      <c r="AV284">
        <v>78</v>
      </c>
      <c r="AW284">
        <v>1</v>
      </c>
      <c r="AX284" t="s">
        <v>74</v>
      </c>
      <c r="AY284" t="s">
        <v>74</v>
      </c>
      <c r="AZ284" t="s">
        <v>74</v>
      </c>
      <c r="BA284" t="s">
        <v>74</v>
      </c>
      <c r="BB284">
        <v>9</v>
      </c>
      <c r="BC284">
        <v>28</v>
      </c>
      <c r="BD284" t="s">
        <v>4329</v>
      </c>
      <c r="BE284" t="s">
        <v>4330</v>
      </c>
      <c r="BF284" t="str">
        <f>HYPERLINK("http://dx.doi.org/10.1016/S0304-4203(02)00005-1","http://dx.doi.org/10.1016/S0304-4203(02)00005-1")</f>
        <v>http://dx.doi.org/10.1016/S0304-4203(02)00005-1</v>
      </c>
      <c r="BG284" t="s">
        <v>74</v>
      </c>
      <c r="BH284" t="s">
        <v>74</v>
      </c>
      <c r="BI284">
        <v>20</v>
      </c>
      <c r="BJ284" t="s">
        <v>4331</v>
      </c>
      <c r="BK284" t="s">
        <v>170</v>
      </c>
      <c r="BL284" t="s">
        <v>4332</v>
      </c>
      <c r="BM284" t="s">
        <v>4333</v>
      </c>
      <c r="BN284" t="s">
        <v>74</v>
      </c>
      <c r="BO284" t="s">
        <v>74</v>
      </c>
      <c r="BP284" t="s">
        <v>74</v>
      </c>
      <c r="BQ284" t="s">
        <v>74</v>
      </c>
      <c r="BR284" t="s">
        <v>107</v>
      </c>
      <c r="BS284" t="s">
        <v>4334</v>
      </c>
      <c r="BT284" t="str">
        <f>HYPERLINK("https%3A%2F%2Fwww.webofscience.com%2Fwos%2Fwoscc%2Ffull-record%2FWOS:000174916400002","View Full Record in Web of Science")</f>
        <v>View Full Record in Web of Science</v>
      </c>
    </row>
    <row r="285" spans="1:72" x14ac:dyDescent="0.15">
      <c r="A285" t="s">
        <v>72</v>
      </c>
      <c r="B285" t="s">
        <v>4335</v>
      </c>
      <c r="C285" t="s">
        <v>74</v>
      </c>
      <c r="D285" t="s">
        <v>74</v>
      </c>
      <c r="E285" t="s">
        <v>74</v>
      </c>
      <c r="F285" t="s">
        <v>4335</v>
      </c>
      <c r="G285" t="s">
        <v>74</v>
      </c>
      <c r="H285" t="s">
        <v>74</v>
      </c>
      <c r="I285" t="s">
        <v>4336</v>
      </c>
      <c r="J285" t="s">
        <v>4337</v>
      </c>
      <c r="K285" t="s">
        <v>74</v>
      </c>
      <c r="L285" t="s">
        <v>74</v>
      </c>
      <c r="M285" t="s">
        <v>77</v>
      </c>
      <c r="N285" t="s">
        <v>153</v>
      </c>
      <c r="O285" t="s">
        <v>74</v>
      </c>
      <c r="P285" t="s">
        <v>74</v>
      </c>
      <c r="Q285" t="s">
        <v>74</v>
      </c>
      <c r="R285" t="s">
        <v>74</v>
      </c>
      <c r="S285" t="s">
        <v>74</v>
      </c>
      <c r="T285" t="s">
        <v>4338</v>
      </c>
      <c r="U285" t="s">
        <v>4339</v>
      </c>
      <c r="V285" t="s">
        <v>4340</v>
      </c>
      <c r="W285" t="s">
        <v>4064</v>
      </c>
      <c r="X285" t="s">
        <v>852</v>
      </c>
      <c r="Y285" t="s">
        <v>4341</v>
      </c>
      <c r="Z285" t="s">
        <v>4342</v>
      </c>
      <c r="AA285" t="s">
        <v>74</v>
      </c>
      <c r="AB285" t="s">
        <v>74</v>
      </c>
      <c r="AC285" t="s">
        <v>74</v>
      </c>
      <c r="AD285" t="s">
        <v>74</v>
      </c>
      <c r="AE285" t="s">
        <v>74</v>
      </c>
      <c r="AF285" t="s">
        <v>74</v>
      </c>
      <c r="AG285">
        <v>21</v>
      </c>
      <c r="AH285">
        <v>14</v>
      </c>
      <c r="AI285">
        <v>14</v>
      </c>
      <c r="AJ285">
        <v>0</v>
      </c>
      <c r="AK285">
        <v>6</v>
      </c>
      <c r="AL285" t="s">
        <v>394</v>
      </c>
      <c r="AM285" t="s">
        <v>395</v>
      </c>
      <c r="AN285" t="s">
        <v>396</v>
      </c>
      <c r="AO285" t="s">
        <v>4343</v>
      </c>
      <c r="AP285" t="s">
        <v>4344</v>
      </c>
      <c r="AQ285" t="s">
        <v>74</v>
      </c>
      <c r="AR285" t="s">
        <v>4345</v>
      </c>
      <c r="AS285" t="s">
        <v>4346</v>
      </c>
      <c r="AT285" t="s">
        <v>3598</v>
      </c>
      <c r="AU285">
        <v>2002</v>
      </c>
      <c r="AV285">
        <v>18</v>
      </c>
      <c r="AW285">
        <v>2</v>
      </c>
      <c r="AX285" t="s">
        <v>74</v>
      </c>
      <c r="AY285" t="s">
        <v>74</v>
      </c>
      <c r="AZ285" t="s">
        <v>74</v>
      </c>
      <c r="BA285" t="s">
        <v>74</v>
      </c>
      <c r="BB285">
        <v>469</v>
      </c>
      <c r="BC285">
        <v>482</v>
      </c>
      <c r="BD285" t="s">
        <v>74</v>
      </c>
      <c r="BE285" t="s">
        <v>4347</v>
      </c>
      <c r="BF285" t="str">
        <f>HYPERLINK("http://dx.doi.org/10.1111/j.1748-7692.2002.tb01049.x","http://dx.doi.org/10.1111/j.1748-7692.2002.tb01049.x")</f>
        <v>http://dx.doi.org/10.1111/j.1748-7692.2002.tb01049.x</v>
      </c>
      <c r="BG285" t="s">
        <v>74</v>
      </c>
      <c r="BH285" t="s">
        <v>74</v>
      </c>
      <c r="BI285">
        <v>14</v>
      </c>
      <c r="BJ285" t="s">
        <v>2790</v>
      </c>
      <c r="BK285" t="s">
        <v>170</v>
      </c>
      <c r="BL285" t="s">
        <v>2790</v>
      </c>
      <c r="BM285" t="s">
        <v>4348</v>
      </c>
      <c r="BN285" t="s">
        <v>74</v>
      </c>
      <c r="BO285" t="s">
        <v>74</v>
      </c>
      <c r="BP285" t="s">
        <v>74</v>
      </c>
      <c r="BQ285" t="s">
        <v>74</v>
      </c>
      <c r="BR285" t="s">
        <v>107</v>
      </c>
      <c r="BS285" t="s">
        <v>4349</v>
      </c>
      <c r="BT285" t="str">
        <f>HYPERLINK("https%3A%2F%2Fwww.webofscience.com%2Fwos%2Fwoscc%2Ffull-record%2FWOS:000175164000010","View Full Record in Web of Science")</f>
        <v>View Full Record in Web of Science</v>
      </c>
    </row>
    <row r="286" spans="1:72" x14ac:dyDescent="0.15">
      <c r="A286" t="s">
        <v>72</v>
      </c>
      <c r="B286" t="s">
        <v>4350</v>
      </c>
      <c r="C286" t="s">
        <v>74</v>
      </c>
      <c r="D286" t="s">
        <v>74</v>
      </c>
      <c r="E286" t="s">
        <v>74</v>
      </c>
      <c r="F286" t="s">
        <v>4350</v>
      </c>
      <c r="G286" t="s">
        <v>74</v>
      </c>
      <c r="H286" t="s">
        <v>74</v>
      </c>
      <c r="I286" t="s">
        <v>4351</v>
      </c>
      <c r="J286" t="s">
        <v>4337</v>
      </c>
      <c r="K286" t="s">
        <v>74</v>
      </c>
      <c r="L286" t="s">
        <v>74</v>
      </c>
      <c r="M286" t="s">
        <v>77</v>
      </c>
      <c r="N286" t="s">
        <v>153</v>
      </c>
      <c r="O286" t="s">
        <v>74</v>
      </c>
      <c r="P286" t="s">
        <v>74</v>
      </c>
      <c r="Q286" t="s">
        <v>74</v>
      </c>
      <c r="R286" t="s">
        <v>74</v>
      </c>
      <c r="S286" t="s">
        <v>74</v>
      </c>
      <c r="T286" t="s">
        <v>74</v>
      </c>
      <c r="U286" t="s">
        <v>4352</v>
      </c>
      <c r="V286" t="s">
        <v>74</v>
      </c>
      <c r="W286" t="s">
        <v>4353</v>
      </c>
      <c r="X286" t="s">
        <v>4354</v>
      </c>
      <c r="Y286" t="s">
        <v>4355</v>
      </c>
      <c r="Z286" t="s">
        <v>4356</v>
      </c>
      <c r="AA286" t="s">
        <v>74</v>
      </c>
      <c r="AB286" t="s">
        <v>74</v>
      </c>
      <c r="AC286" t="s">
        <v>74</v>
      </c>
      <c r="AD286" t="s">
        <v>74</v>
      </c>
      <c r="AE286" t="s">
        <v>74</v>
      </c>
      <c r="AF286" t="s">
        <v>74</v>
      </c>
      <c r="AG286">
        <v>18</v>
      </c>
      <c r="AH286">
        <v>4</v>
      </c>
      <c r="AI286">
        <v>7</v>
      </c>
      <c r="AJ286">
        <v>0</v>
      </c>
      <c r="AK286">
        <v>7</v>
      </c>
      <c r="AL286" t="s">
        <v>394</v>
      </c>
      <c r="AM286" t="s">
        <v>395</v>
      </c>
      <c r="AN286" t="s">
        <v>396</v>
      </c>
      <c r="AO286" t="s">
        <v>4343</v>
      </c>
      <c r="AP286" t="s">
        <v>4344</v>
      </c>
      <c r="AQ286" t="s">
        <v>74</v>
      </c>
      <c r="AR286" t="s">
        <v>4345</v>
      </c>
      <c r="AS286" t="s">
        <v>4346</v>
      </c>
      <c r="AT286" t="s">
        <v>3598</v>
      </c>
      <c r="AU286">
        <v>2002</v>
      </c>
      <c r="AV286">
        <v>18</v>
      </c>
      <c r="AW286">
        <v>2</v>
      </c>
      <c r="AX286" t="s">
        <v>74</v>
      </c>
      <c r="AY286" t="s">
        <v>74</v>
      </c>
      <c r="AZ286" t="s">
        <v>74</v>
      </c>
      <c r="BA286" t="s">
        <v>74</v>
      </c>
      <c r="BB286">
        <v>544</v>
      </c>
      <c r="BC286">
        <v>551</v>
      </c>
      <c r="BD286" t="s">
        <v>74</v>
      </c>
      <c r="BE286" t="s">
        <v>4357</v>
      </c>
      <c r="BF286" t="str">
        <f>HYPERLINK("http://dx.doi.org/10.1111/j.1748-7692.2002.tb01055.x","http://dx.doi.org/10.1111/j.1748-7692.2002.tb01055.x")</f>
        <v>http://dx.doi.org/10.1111/j.1748-7692.2002.tb01055.x</v>
      </c>
      <c r="BG286" t="s">
        <v>74</v>
      </c>
      <c r="BH286" t="s">
        <v>74</v>
      </c>
      <c r="BI286">
        <v>8</v>
      </c>
      <c r="BJ286" t="s">
        <v>2790</v>
      </c>
      <c r="BK286" t="s">
        <v>170</v>
      </c>
      <c r="BL286" t="s">
        <v>2790</v>
      </c>
      <c r="BM286" t="s">
        <v>4348</v>
      </c>
      <c r="BN286" t="s">
        <v>74</v>
      </c>
      <c r="BO286" t="s">
        <v>74</v>
      </c>
      <c r="BP286" t="s">
        <v>74</v>
      </c>
      <c r="BQ286" t="s">
        <v>74</v>
      </c>
      <c r="BR286" t="s">
        <v>107</v>
      </c>
      <c r="BS286" t="s">
        <v>4358</v>
      </c>
      <c r="BT286" t="str">
        <f>HYPERLINK("https%3A%2F%2Fwww.webofscience.com%2Fwos%2Fwoscc%2Ffull-record%2FWOS:000175164000016","View Full Record in Web of Science")</f>
        <v>View Full Record in Web of Science</v>
      </c>
    </row>
    <row r="287" spans="1:72" x14ac:dyDescent="0.15">
      <c r="A287" t="s">
        <v>72</v>
      </c>
      <c r="B287" t="s">
        <v>4359</v>
      </c>
      <c r="C287" t="s">
        <v>74</v>
      </c>
      <c r="D287" t="s">
        <v>74</v>
      </c>
      <c r="E287" t="s">
        <v>74</v>
      </c>
      <c r="F287" t="s">
        <v>4359</v>
      </c>
      <c r="G287" t="s">
        <v>74</v>
      </c>
      <c r="H287" t="s">
        <v>74</v>
      </c>
      <c r="I287" t="s">
        <v>4360</v>
      </c>
      <c r="J287" t="s">
        <v>4361</v>
      </c>
      <c r="K287" t="s">
        <v>74</v>
      </c>
      <c r="L287" t="s">
        <v>74</v>
      </c>
      <c r="M287" t="s">
        <v>77</v>
      </c>
      <c r="N287" t="s">
        <v>78</v>
      </c>
      <c r="O287" t="s">
        <v>4362</v>
      </c>
      <c r="P287" t="s">
        <v>4363</v>
      </c>
      <c r="Q287" t="s">
        <v>4364</v>
      </c>
      <c r="R287" t="s">
        <v>74</v>
      </c>
      <c r="S287" t="s">
        <v>4365</v>
      </c>
      <c r="T287" t="s">
        <v>4366</v>
      </c>
      <c r="U287" t="s">
        <v>4367</v>
      </c>
      <c r="V287" t="s">
        <v>4368</v>
      </c>
      <c r="W287" t="s">
        <v>4369</v>
      </c>
      <c r="X287" t="s">
        <v>4370</v>
      </c>
      <c r="Y287" t="s">
        <v>4371</v>
      </c>
      <c r="Z287" t="s">
        <v>74</v>
      </c>
      <c r="AA287" t="s">
        <v>74</v>
      </c>
      <c r="AB287" t="s">
        <v>74</v>
      </c>
      <c r="AC287" t="s">
        <v>74</v>
      </c>
      <c r="AD287" t="s">
        <v>74</v>
      </c>
      <c r="AE287" t="s">
        <v>74</v>
      </c>
      <c r="AF287" t="s">
        <v>74</v>
      </c>
      <c r="AG287">
        <v>10</v>
      </c>
      <c r="AH287">
        <v>10</v>
      </c>
      <c r="AI287">
        <v>10</v>
      </c>
      <c r="AJ287">
        <v>0</v>
      </c>
      <c r="AK287">
        <v>4</v>
      </c>
      <c r="AL287" t="s">
        <v>132</v>
      </c>
      <c r="AM287" t="s">
        <v>91</v>
      </c>
      <c r="AN287" t="s">
        <v>133</v>
      </c>
      <c r="AO287" t="s">
        <v>4372</v>
      </c>
      <c r="AP287" t="s">
        <v>74</v>
      </c>
      <c r="AQ287" t="s">
        <v>74</v>
      </c>
      <c r="AR287" t="s">
        <v>4373</v>
      </c>
      <c r="AS287" t="s">
        <v>4374</v>
      </c>
      <c r="AT287" t="s">
        <v>3598</v>
      </c>
      <c r="AU287">
        <v>2002</v>
      </c>
      <c r="AV287">
        <v>188</v>
      </c>
      <c r="AW287" t="s">
        <v>74</v>
      </c>
      <c r="AX287" t="s">
        <v>74</v>
      </c>
      <c r="AY287" t="s">
        <v>74</v>
      </c>
      <c r="AZ287" t="s">
        <v>74</v>
      </c>
      <c r="BA287" t="s">
        <v>74</v>
      </c>
      <c r="BB287">
        <v>61</v>
      </c>
      <c r="BC287">
        <v>66</v>
      </c>
      <c r="BD287" t="s">
        <v>4375</v>
      </c>
      <c r="BE287" t="s">
        <v>4376</v>
      </c>
      <c r="BF287" t="str">
        <f>HYPERLINK("http://dx.doi.org/10.1016/S0168-583X(01)01010-2","http://dx.doi.org/10.1016/S0168-583X(01)01010-2")</f>
        <v>http://dx.doi.org/10.1016/S0168-583X(01)01010-2</v>
      </c>
      <c r="BG287" t="s">
        <v>74</v>
      </c>
      <c r="BH287" t="s">
        <v>74</v>
      </c>
      <c r="BI287">
        <v>6</v>
      </c>
      <c r="BJ287" t="s">
        <v>4377</v>
      </c>
      <c r="BK287" t="s">
        <v>744</v>
      </c>
      <c r="BL287" t="s">
        <v>4378</v>
      </c>
      <c r="BM287" t="s">
        <v>4379</v>
      </c>
      <c r="BN287" t="s">
        <v>74</v>
      </c>
      <c r="BO287" t="s">
        <v>74</v>
      </c>
      <c r="BP287" t="s">
        <v>74</v>
      </c>
      <c r="BQ287" t="s">
        <v>74</v>
      </c>
      <c r="BR287" t="s">
        <v>107</v>
      </c>
      <c r="BS287" t="s">
        <v>4380</v>
      </c>
      <c r="BT287" t="str">
        <f>HYPERLINK("https%3A%2F%2Fwww.webofscience.com%2Fwos%2Fwoscc%2Ffull-record%2FWOS:000175364300010","View Full Record in Web of Science")</f>
        <v>View Full Record in Web of Science</v>
      </c>
    </row>
    <row r="288" spans="1:72" x14ac:dyDescent="0.15">
      <c r="A288" t="s">
        <v>72</v>
      </c>
      <c r="B288" t="s">
        <v>4381</v>
      </c>
      <c r="C288" t="s">
        <v>74</v>
      </c>
      <c r="D288" t="s">
        <v>74</v>
      </c>
      <c r="E288" t="s">
        <v>74</v>
      </c>
      <c r="F288" t="s">
        <v>4381</v>
      </c>
      <c r="G288" t="s">
        <v>74</v>
      </c>
      <c r="H288" t="s">
        <v>74</v>
      </c>
      <c r="I288" t="s">
        <v>4382</v>
      </c>
      <c r="J288" t="s">
        <v>4383</v>
      </c>
      <c r="K288" t="s">
        <v>74</v>
      </c>
      <c r="L288" t="s">
        <v>74</v>
      </c>
      <c r="M288" t="s">
        <v>77</v>
      </c>
      <c r="N288" t="s">
        <v>153</v>
      </c>
      <c r="O288" t="s">
        <v>74</v>
      </c>
      <c r="P288" t="s">
        <v>74</v>
      </c>
      <c r="Q288" t="s">
        <v>74</v>
      </c>
      <c r="R288" t="s">
        <v>74</v>
      </c>
      <c r="S288" t="s">
        <v>74</v>
      </c>
      <c r="T288" t="s">
        <v>4384</v>
      </c>
      <c r="U288" t="s">
        <v>4385</v>
      </c>
      <c r="V288" t="s">
        <v>4386</v>
      </c>
      <c r="W288" t="s">
        <v>4387</v>
      </c>
      <c r="X288" t="s">
        <v>616</v>
      </c>
      <c r="Y288" t="s">
        <v>4388</v>
      </c>
      <c r="Z288" t="s">
        <v>4389</v>
      </c>
      <c r="AA288" t="s">
        <v>4390</v>
      </c>
      <c r="AB288" t="s">
        <v>4391</v>
      </c>
      <c r="AC288" t="s">
        <v>74</v>
      </c>
      <c r="AD288" t="s">
        <v>74</v>
      </c>
      <c r="AE288" t="s">
        <v>74</v>
      </c>
      <c r="AF288" t="s">
        <v>74</v>
      </c>
      <c r="AG288">
        <v>39</v>
      </c>
      <c r="AH288">
        <v>88</v>
      </c>
      <c r="AI288">
        <v>97</v>
      </c>
      <c r="AJ288">
        <v>0</v>
      </c>
      <c r="AK288">
        <v>24</v>
      </c>
      <c r="AL288" t="s">
        <v>194</v>
      </c>
      <c r="AM288" t="s">
        <v>1251</v>
      </c>
      <c r="AN288" t="s">
        <v>1252</v>
      </c>
      <c r="AO288" t="s">
        <v>1810</v>
      </c>
      <c r="AP288" t="s">
        <v>74</v>
      </c>
      <c r="AQ288" t="s">
        <v>74</v>
      </c>
      <c r="AR288" t="s">
        <v>1811</v>
      </c>
      <c r="AS288" t="s">
        <v>1812</v>
      </c>
      <c r="AT288" t="s">
        <v>3598</v>
      </c>
      <c r="AU288">
        <v>2002</v>
      </c>
      <c r="AV288">
        <v>32</v>
      </c>
      <c r="AW288">
        <v>2</v>
      </c>
      <c r="AX288" t="s">
        <v>74</v>
      </c>
      <c r="AY288" t="s">
        <v>74</v>
      </c>
      <c r="AZ288" t="s">
        <v>74</v>
      </c>
      <c r="BA288" t="s">
        <v>74</v>
      </c>
      <c r="BB288">
        <v>143</v>
      </c>
      <c r="BC288">
        <v>163</v>
      </c>
      <c r="BD288" t="s">
        <v>74</v>
      </c>
      <c r="BE288" t="s">
        <v>4392</v>
      </c>
      <c r="BF288" t="str">
        <f>HYPERLINK("http://dx.doi.org/10.1023/A:1016019425995","http://dx.doi.org/10.1023/A:1016019425995")</f>
        <v>http://dx.doi.org/10.1023/A:1016019425995</v>
      </c>
      <c r="BG288" t="s">
        <v>74</v>
      </c>
      <c r="BH288" t="s">
        <v>74</v>
      </c>
      <c r="BI288">
        <v>21</v>
      </c>
      <c r="BJ288" t="s">
        <v>1814</v>
      </c>
      <c r="BK288" t="s">
        <v>170</v>
      </c>
      <c r="BL288" t="s">
        <v>1815</v>
      </c>
      <c r="BM288" t="s">
        <v>4393</v>
      </c>
      <c r="BN288">
        <v>12185673</v>
      </c>
      <c r="BO288" t="s">
        <v>74</v>
      </c>
      <c r="BP288" t="s">
        <v>74</v>
      </c>
      <c r="BQ288" t="s">
        <v>74</v>
      </c>
      <c r="BR288" t="s">
        <v>107</v>
      </c>
      <c r="BS288" t="s">
        <v>4394</v>
      </c>
      <c r="BT288" t="str">
        <f>HYPERLINK("https%3A%2F%2Fwww.webofscience.com%2Fwos%2Fwoscc%2Ffull-record%2FWOS:000176506300006","View Full Record in Web of Science")</f>
        <v>View Full Record in Web of Science</v>
      </c>
    </row>
    <row r="289" spans="1:72" x14ac:dyDescent="0.15">
      <c r="A289" t="s">
        <v>72</v>
      </c>
      <c r="B289" t="s">
        <v>4395</v>
      </c>
      <c r="C289" t="s">
        <v>74</v>
      </c>
      <c r="D289" t="s">
        <v>74</v>
      </c>
      <c r="E289" t="s">
        <v>74</v>
      </c>
      <c r="F289" t="s">
        <v>4395</v>
      </c>
      <c r="G289" t="s">
        <v>74</v>
      </c>
      <c r="H289" t="s">
        <v>74</v>
      </c>
      <c r="I289" t="s">
        <v>4396</v>
      </c>
      <c r="J289" t="s">
        <v>263</v>
      </c>
      <c r="K289" t="s">
        <v>74</v>
      </c>
      <c r="L289" t="s">
        <v>74</v>
      </c>
      <c r="M289" t="s">
        <v>77</v>
      </c>
      <c r="N289" t="s">
        <v>153</v>
      </c>
      <c r="O289" t="s">
        <v>74</v>
      </c>
      <c r="P289" t="s">
        <v>74</v>
      </c>
      <c r="Q289" t="s">
        <v>74</v>
      </c>
      <c r="R289" t="s">
        <v>74</v>
      </c>
      <c r="S289" t="s">
        <v>74</v>
      </c>
      <c r="T289" t="s">
        <v>74</v>
      </c>
      <c r="U289" t="s">
        <v>4397</v>
      </c>
      <c r="V289" t="s">
        <v>4398</v>
      </c>
      <c r="W289" t="s">
        <v>4399</v>
      </c>
      <c r="X289" t="s">
        <v>4400</v>
      </c>
      <c r="Y289" t="s">
        <v>4401</v>
      </c>
      <c r="Z289" t="s">
        <v>4402</v>
      </c>
      <c r="AA289" t="s">
        <v>74</v>
      </c>
      <c r="AB289" t="s">
        <v>74</v>
      </c>
      <c r="AC289" t="s">
        <v>74</v>
      </c>
      <c r="AD289" t="s">
        <v>74</v>
      </c>
      <c r="AE289" t="s">
        <v>74</v>
      </c>
      <c r="AF289" t="s">
        <v>74</v>
      </c>
      <c r="AG289">
        <v>45</v>
      </c>
      <c r="AH289">
        <v>26</v>
      </c>
      <c r="AI289">
        <v>29</v>
      </c>
      <c r="AJ289">
        <v>3</v>
      </c>
      <c r="AK289">
        <v>16</v>
      </c>
      <c r="AL289" t="s">
        <v>194</v>
      </c>
      <c r="AM289" t="s">
        <v>195</v>
      </c>
      <c r="AN289" t="s">
        <v>271</v>
      </c>
      <c r="AO289" t="s">
        <v>272</v>
      </c>
      <c r="AP289" t="s">
        <v>273</v>
      </c>
      <c r="AQ289" t="s">
        <v>74</v>
      </c>
      <c r="AR289" t="s">
        <v>274</v>
      </c>
      <c r="AS289" t="s">
        <v>275</v>
      </c>
      <c r="AT289" t="s">
        <v>3598</v>
      </c>
      <c r="AU289">
        <v>2002</v>
      </c>
      <c r="AV289">
        <v>25</v>
      </c>
      <c r="AW289">
        <v>4</v>
      </c>
      <c r="AX289" t="s">
        <v>74</v>
      </c>
      <c r="AY289" t="s">
        <v>74</v>
      </c>
      <c r="AZ289" t="s">
        <v>74</v>
      </c>
      <c r="BA289" t="s">
        <v>74</v>
      </c>
      <c r="BB289">
        <v>256</v>
      </c>
      <c r="BC289">
        <v>261</v>
      </c>
      <c r="BD289" t="s">
        <v>74</v>
      </c>
      <c r="BE289" t="s">
        <v>4403</v>
      </c>
      <c r="BF289" t="str">
        <f>HYPERLINK("http://dx.doi.org/10.1007/s00300-001-0333-z","http://dx.doi.org/10.1007/s00300-001-0333-z")</f>
        <v>http://dx.doi.org/10.1007/s00300-001-0333-z</v>
      </c>
      <c r="BG289" t="s">
        <v>74</v>
      </c>
      <c r="BH289" t="s">
        <v>74</v>
      </c>
      <c r="BI289">
        <v>6</v>
      </c>
      <c r="BJ289" t="s">
        <v>277</v>
      </c>
      <c r="BK289" t="s">
        <v>170</v>
      </c>
      <c r="BL289" t="s">
        <v>278</v>
      </c>
      <c r="BM289" t="s">
        <v>4404</v>
      </c>
      <c r="BN289" t="s">
        <v>74</v>
      </c>
      <c r="BO289" t="s">
        <v>74</v>
      </c>
      <c r="BP289" t="s">
        <v>74</v>
      </c>
      <c r="BQ289" t="s">
        <v>74</v>
      </c>
      <c r="BR289" t="s">
        <v>107</v>
      </c>
      <c r="BS289" t="s">
        <v>4405</v>
      </c>
      <c r="BT289" t="str">
        <f>HYPERLINK("https%3A%2F%2Fwww.webofscience.com%2Fwos%2Fwoscc%2Ffull-record%2FWOS:000175038000003","View Full Record in Web of Science")</f>
        <v>View Full Record in Web of Science</v>
      </c>
    </row>
    <row r="290" spans="1:72" x14ac:dyDescent="0.15">
      <c r="A290" t="s">
        <v>72</v>
      </c>
      <c r="B290" t="s">
        <v>4406</v>
      </c>
      <c r="C290" t="s">
        <v>74</v>
      </c>
      <c r="D290" t="s">
        <v>74</v>
      </c>
      <c r="E290" t="s">
        <v>74</v>
      </c>
      <c r="F290" t="s">
        <v>4406</v>
      </c>
      <c r="G290" t="s">
        <v>74</v>
      </c>
      <c r="H290" t="s">
        <v>74</v>
      </c>
      <c r="I290" t="s">
        <v>4407</v>
      </c>
      <c r="J290" t="s">
        <v>263</v>
      </c>
      <c r="K290" t="s">
        <v>74</v>
      </c>
      <c r="L290" t="s">
        <v>74</v>
      </c>
      <c r="M290" t="s">
        <v>77</v>
      </c>
      <c r="N290" t="s">
        <v>153</v>
      </c>
      <c r="O290" t="s">
        <v>74</v>
      </c>
      <c r="P290" t="s">
        <v>74</v>
      </c>
      <c r="Q290" t="s">
        <v>74</v>
      </c>
      <c r="R290" t="s">
        <v>74</v>
      </c>
      <c r="S290" t="s">
        <v>74</v>
      </c>
      <c r="T290" t="s">
        <v>74</v>
      </c>
      <c r="U290" t="s">
        <v>4408</v>
      </c>
      <c r="V290" t="s">
        <v>4409</v>
      </c>
      <c r="W290" t="s">
        <v>4410</v>
      </c>
      <c r="X290" t="s">
        <v>4411</v>
      </c>
      <c r="Y290" t="s">
        <v>4412</v>
      </c>
      <c r="Z290" t="s">
        <v>4413</v>
      </c>
      <c r="AA290" t="s">
        <v>4414</v>
      </c>
      <c r="AB290" t="s">
        <v>4415</v>
      </c>
      <c r="AC290" t="s">
        <v>74</v>
      </c>
      <c r="AD290" t="s">
        <v>74</v>
      </c>
      <c r="AE290" t="s">
        <v>74</v>
      </c>
      <c r="AF290" t="s">
        <v>74</v>
      </c>
      <c r="AG290">
        <v>23</v>
      </c>
      <c r="AH290">
        <v>131</v>
      </c>
      <c r="AI290">
        <v>151</v>
      </c>
      <c r="AJ290">
        <v>1</v>
      </c>
      <c r="AK290">
        <v>17</v>
      </c>
      <c r="AL290" t="s">
        <v>194</v>
      </c>
      <c r="AM290" t="s">
        <v>195</v>
      </c>
      <c r="AN290" t="s">
        <v>271</v>
      </c>
      <c r="AO290" t="s">
        <v>272</v>
      </c>
      <c r="AP290" t="s">
        <v>273</v>
      </c>
      <c r="AQ290" t="s">
        <v>74</v>
      </c>
      <c r="AR290" t="s">
        <v>274</v>
      </c>
      <c r="AS290" t="s">
        <v>275</v>
      </c>
      <c r="AT290" t="s">
        <v>3598</v>
      </c>
      <c r="AU290">
        <v>2002</v>
      </c>
      <c r="AV290">
        <v>25</v>
      </c>
      <c r="AW290">
        <v>4</v>
      </c>
      <c r="AX290" t="s">
        <v>74</v>
      </c>
      <c r="AY290" t="s">
        <v>74</v>
      </c>
      <c r="AZ290" t="s">
        <v>74</v>
      </c>
      <c r="BA290" t="s">
        <v>74</v>
      </c>
      <c r="BB290">
        <v>262</v>
      </c>
      <c r="BC290">
        <v>268</v>
      </c>
      <c r="BD290" t="s">
        <v>74</v>
      </c>
      <c r="BE290" t="s">
        <v>4416</v>
      </c>
      <c r="BF290" t="str">
        <f>HYPERLINK("http://dx.doi.org/10.1007/s00300-001-0337-8","http://dx.doi.org/10.1007/s00300-001-0337-8")</f>
        <v>http://dx.doi.org/10.1007/s00300-001-0337-8</v>
      </c>
      <c r="BG290" t="s">
        <v>74</v>
      </c>
      <c r="BH290" t="s">
        <v>74</v>
      </c>
      <c r="BI290">
        <v>7</v>
      </c>
      <c r="BJ290" t="s">
        <v>277</v>
      </c>
      <c r="BK290" t="s">
        <v>170</v>
      </c>
      <c r="BL290" t="s">
        <v>278</v>
      </c>
      <c r="BM290" t="s">
        <v>4404</v>
      </c>
      <c r="BN290" t="s">
        <v>74</v>
      </c>
      <c r="BO290" t="s">
        <v>74</v>
      </c>
      <c r="BP290" t="s">
        <v>74</v>
      </c>
      <c r="BQ290" t="s">
        <v>74</v>
      </c>
      <c r="BR290" t="s">
        <v>107</v>
      </c>
      <c r="BS290" t="s">
        <v>4417</v>
      </c>
      <c r="BT290" t="str">
        <f>HYPERLINK("https%3A%2F%2Fwww.webofscience.com%2Fwos%2Fwoscc%2Ffull-record%2FWOS:000175038000004","View Full Record in Web of Science")</f>
        <v>View Full Record in Web of Science</v>
      </c>
    </row>
    <row r="291" spans="1:72" x14ac:dyDescent="0.15">
      <c r="A291" t="s">
        <v>72</v>
      </c>
      <c r="B291" t="s">
        <v>4418</v>
      </c>
      <c r="C291" t="s">
        <v>74</v>
      </c>
      <c r="D291" t="s">
        <v>74</v>
      </c>
      <c r="E291" t="s">
        <v>74</v>
      </c>
      <c r="F291" t="s">
        <v>4418</v>
      </c>
      <c r="G291" t="s">
        <v>74</v>
      </c>
      <c r="H291" t="s">
        <v>74</v>
      </c>
      <c r="I291" t="s">
        <v>4419</v>
      </c>
      <c r="J291" t="s">
        <v>263</v>
      </c>
      <c r="K291" t="s">
        <v>74</v>
      </c>
      <c r="L291" t="s">
        <v>74</v>
      </c>
      <c r="M291" t="s">
        <v>77</v>
      </c>
      <c r="N291" t="s">
        <v>153</v>
      </c>
      <c r="O291" t="s">
        <v>74</v>
      </c>
      <c r="P291" t="s">
        <v>74</v>
      </c>
      <c r="Q291" t="s">
        <v>74</v>
      </c>
      <c r="R291" t="s">
        <v>74</v>
      </c>
      <c r="S291" t="s">
        <v>74</v>
      </c>
      <c r="T291" t="s">
        <v>74</v>
      </c>
      <c r="U291" t="s">
        <v>4420</v>
      </c>
      <c r="V291" t="s">
        <v>4421</v>
      </c>
      <c r="W291" t="s">
        <v>4422</v>
      </c>
      <c r="X291" t="s">
        <v>1064</v>
      </c>
      <c r="Y291" t="s">
        <v>4423</v>
      </c>
      <c r="Z291" t="s">
        <v>4424</v>
      </c>
      <c r="AA291" t="s">
        <v>4425</v>
      </c>
      <c r="AB291" t="s">
        <v>4426</v>
      </c>
      <c r="AC291" t="s">
        <v>74</v>
      </c>
      <c r="AD291" t="s">
        <v>74</v>
      </c>
      <c r="AE291" t="s">
        <v>74</v>
      </c>
      <c r="AF291" t="s">
        <v>74</v>
      </c>
      <c r="AG291">
        <v>45</v>
      </c>
      <c r="AH291">
        <v>58</v>
      </c>
      <c r="AI291">
        <v>66</v>
      </c>
      <c r="AJ291">
        <v>3</v>
      </c>
      <c r="AK291">
        <v>14</v>
      </c>
      <c r="AL291" t="s">
        <v>194</v>
      </c>
      <c r="AM291" t="s">
        <v>195</v>
      </c>
      <c r="AN291" t="s">
        <v>271</v>
      </c>
      <c r="AO291" t="s">
        <v>272</v>
      </c>
      <c r="AP291" t="s">
        <v>273</v>
      </c>
      <c r="AQ291" t="s">
        <v>74</v>
      </c>
      <c r="AR291" t="s">
        <v>274</v>
      </c>
      <c r="AS291" t="s">
        <v>275</v>
      </c>
      <c r="AT291" t="s">
        <v>3598</v>
      </c>
      <c r="AU291">
        <v>2002</v>
      </c>
      <c r="AV291">
        <v>25</v>
      </c>
      <c r="AW291">
        <v>4</v>
      </c>
      <c r="AX291" t="s">
        <v>74</v>
      </c>
      <c r="AY291" t="s">
        <v>74</v>
      </c>
      <c r="AZ291" t="s">
        <v>74</v>
      </c>
      <c r="BA291" t="s">
        <v>74</v>
      </c>
      <c r="BB291">
        <v>269</v>
      </c>
      <c r="BC291">
        <v>279</v>
      </c>
      <c r="BD291" t="s">
        <v>74</v>
      </c>
      <c r="BE291" t="s">
        <v>4427</v>
      </c>
      <c r="BF291" t="str">
        <f>HYPERLINK("http://dx.doi.org/10.1007/s00300-001-0339-6","http://dx.doi.org/10.1007/s00300-001-0339-6")</f>
        <v>http://dx.doi.org/10.1007/s00300-001-0339-6</v>
      </c>
      <c r="BG291" t="s">
        <v>74</v>
      </c>
      <c r="BH291" t="s">
        <v>74</v>
      </c>
      <c r="BI291">
        <v>11</v>
      </c>
      <c r="BJ291" t="s">
        <v>277</v>
      </c>
      <c r="BK291" t="s">
        <v>170</v>
      </c>
      <c r="BL291" t="s">
        <v>278</v>
      </c>
      <c r="BM291" t="s">
        <v>4404</v>
      </c>
      <c r="BN291" t="s">
        <v>74</v>
      </c>
      <c r="BO291" t="s">
        <v>4428</v>
      </c>
      <c r="BP291" t="s">
        <v>74</v>
      </c>
      <c r="BQ291" t="s">
        <v>74</v>
      </c>
      <c r="BR291" t="s">
        <v>107</v>
      </c>
      <c r="BS291" t="s">
        <v>4429</v>
      </c>
      <c r="BT291" t="str">
        <f>HYPERLINK("https%3A%2F%2Fwww.webofscience.com%2Fwos%2Fwoscc%2Ffull-record%2FWOS:000175038000005","View Full Record in Web of Science")</f>
        <v>View Full Record in Web of Science</v>
      </c>
    </row>
    <row r="292" spans="1:72" x14ac:dyDescent="0.15">
      <c r="A292" t="s">
        <v>72</v>
      </c>
      <c r="B292" t="s">
        <v>4430</v>
      </c>
      <c r="C292" t="s">
        <v>74</v>
      </c>
      <c r="D292" t="s">
        <v>74</v>
      </c>
      <c r="E292" t="s">
        <v>74</v>
      </c>
      <c r="F292" t="s">
        <v>4430</v>
      </c>
      <c r="G292" t="s">
        <v>74</v>
      </c>
      <c r="H292" t="s">
        <v>74</v>
      </c>
      <c r="I292" t="s">
        <v>4431</v>
      </c>
      <c r="J292" t="s">
        <v>263</v>
      </c>
      <c r="K292" t="s">
        <v>74</v>
      </c>
      <c r="L292" t="s">
        <v>74</v>
      </c>
      <c r="M292" t="s">
        <v>77</v>
      </c>
      <c r="N292" t="s">
        <v>153</v>
      </c>
      <c r="O292" t="s">
        <v>74</v>
      </c>
      <c r="P292" t="s">
        <v>74</v>
      </c>
      <c r="Q292" t="s">
        <v>74</v>
      </c>
      <c r="R292" t="s">
        <v>74</v>
      </c>
      <c r="S292" t="s">
        <v>74</v>
      </c>
      <c r="T292" t="s">
        <v>74</v>
      </c>
      <c r="U292" t="s">
        <v>4432</v>
      </c>
      <c r="V292" t="s">
        <v>4433</v>
      </c>
      <c r="W292" t="s">
        <v>4434</v>
      </c>
      <c r="X292" t="s">
        <v>798</v>
      </c>
      <c r="Y292" t="s">
        <v>4435</v>
      </c>
      <c r="Z292" t="s">
        <v>74</v>
      </c>
      <c r="AA292" t="s">
        <v>74</v>
      </c>
      <c r="AB292" t="s">
        <v>4436</v>
      </c>
      <c r="AC292" t="s">
        <v>74</v>
      </c>
      <c r="AD292" t="s">
        <v>74</v>
      </c>
      <c r="AE292" t="s">
        <v>74</v>
      </c>
      <c r="AF292" t="s">
        <v>74</v>
      </c>
      <c r="AG292">
        <v>23</v>
      </c>
      <c r="AH292">
        <v>10</v>
      </c>
      <c r="AI292">
        <v>10</v>
      </c>
      <c r="AJ292">
        <v>0</v>
      </c>
      <c r="AK292">
        <v>2</v>
      </c>
      <c r="AL292" t="s">
        <v>290</v>
      </c>
      <c r="AM292" t="s">
        <v>195</v>
      </c>
      <c r="AN292" t="s">
        <v>291</v>
      </c>
      <c r="AO292" t="s">
        <v>272</v>
      </c>
      <c r="AP292" t="s">
        <v>74</v>
      </c>
      <c r="AQ292" t="s">
        <v>74</v>
      </c>
      <c r="AR292" t="s">
        <v>274</v>
      </c>
      <c r="AS292" t="s">
        <v>275</v>
      </c>
      <c r="AT292" t="s">
        <v>3598</v>
      </c>
      <c r="AU292">
        <v>2002</v>
      </c>
      <c r="AV292">
        <v>25</v>
      </c>
      <c r="AW292">
        <v>4</v>
      </c>
      <c r="AX292" t="s">
        <v>74</v>
      </c>
      <c r="AY292" t="s">
        <v>74</v>
      </c>
      <c r="AZ292" t="s">
        <v>74</v>
      </c>
      <c r="BA292" t="s">
        <v>74</v>
      </c>
      <c r="BB292">
        <v>296</v>
      </c>
      <c r="BC292">
        <v>302</v>
      </c>
      <c r="BD292" t="s">
        <v>74</v>
      </c>
      <c r="BE292" t="s">
        <v>4437</v>
      </c>
      <c r="BF292" t="str">
        <f>HYPERLINK("http://dx.doi.org/10.1007/s00300-001-0344-9","http://dx.doi.org/10.1007/s00300-001-0344-9")</f>
        <v>http://dx.doi.org/10.1007/s00300-001-0344-9</v>
      </c>
      <c r="BG292" t="s">
        <v>74</v>
      </c>
      <c r="BH292" t="s">
        <v>74</v>
      </c>
      <c r="BI292">
        <v>7</v>
      </c>
      <c r="BJ292" t="s">
        <v>277</v>
      </c>
      <c r="BK292" t="s">
        <v>170</v>
      </c>
      <c r="BL292" t="s">
        <v>278</v>
      </c>
      <c r="BM292" t="s">
        <v>4404</v>
      </c>
      <c r="BN292" t="s">
        <v>74</v>
      </c>
      <c r="BO292" t="s">
        <v>74</v>
      </c>
      <c r="BP292" t="s">
        <v>74</v>
      </c>
      <c r="BQ292" t="s">
        <v>74</v>
      </c>
      <c r="BR292" t="s">
        <v>107</v>
      </c>
      <c r="BS292" t="s">
        <v>4438</v>
      </c>
      <c r="BT292" t="str">
        <f>HYPERLINK("https%3A%2F%2Fwww.webofscience.com%2Fwos%2Fwoscc%2Ffull-record%2FWOS:000175038000008","View Full Record in Web of Science")</f>
        <v>View Full Record in Web of Science</v>
      </c>
    </row>
    <row r="293" spans="1:72" x14ac:dyDescent="0.15">
      <c r="A293" t="s">
        <v>72</v>
      </c>
      <c r="B293" t="s">
        <v>4439</v>
      </c>
      <c r="C293" t="s">
        <v>74</v>
      </c>
      <c r="D293" t="s">
        <v>74</v>
      </c>
      <c r="E293" t="s">
        <v>74</v>
      </c>
      <c r="F293" t="s">
        <v>4439</v>
      </c>
      <c r="G293" t="s">
        <v>74</v>
      </c>
      <c r="H293" t="s">
        <v>74</v>
      </c>
      <c r="I293" t="s">
        <v>4440</v>
      </c>
      <c r="J293" t="s">
        <v>263</v>
      </c>
      <c r="K293" t="s">
        <v>74</v>
      </c>
      <c r="L293" t="s">
        <v>74</v>
      </c>
      <c r="M293" t="s">
        <v>77</v>
      </c>
      <c r="N293" t="s">
        <v>153</v>
      </c>
      <c r="O293" t="s">
        <v>74</v>
      </c>
      <c r="P293" t="s">
        <v>74</v>
      </c>
      <c r="Q293" t="s">
        <v>74</v>
      </c>
      <c r="R293" t="s">
        <v>74</v>
      </c>
      <c r="S293" t="s">
        <v>74</v>
      </c>
      <c r="T293" t="s">
        <v>74</v>
      </c>
      <c r="U293" t="s">
        <v>4441</v>
      </c>
      <c r="V293" t="s">
        <v>4442</v>
      </c>
      <c r="W293" t="s">
        <v>4443</v>
      </c>
      <c r="X293" t="s">
        <v>2368</v>
      </c>
      <c r="Y293" t="s">
        <v>4444</v>
      </c>
      <c r="Z293" t="s">
        <v>74</v>
      </c>
      <c r="AA293" t="s">
        <v>74</v>
      </c>
      <c r="AB293" t="s">
        <v>4445</v>
      </c>
      <c r="AC293" t="s">
        <v>74</v>
      </c>
      <c r="AD293" t="s">
        <v>74</v>
      </c>
      <c r="AE293" t="s">
        <v>74</v>
      </c>
      <c r="AF293" t="s">
        <v>74</v>
      </c>
      <c r="AG293">
        <v>18</v>
      </c>
      <c r="AH293">
        <v>17</v>
      </c>
      <c r="AI293">
        <v>18</v>
      </c>
      <c r="AJ293">
        <v>0</v>
      </c>
      <c r="AK293">
        <v>7</v>
      </c>
      <c r="AL293" t="s">
        <v>290</v>
      </c>
      <c r="AM293" t="s">
        <v>195</v>
      </c>
      <c r="AN293" t="s">
        <v>291</v>
      </c>
      <c r="AO293" t="s">
        <v>272</v>
      </c>
      <c r="AP293" t="s">
        <v>74</v>
      </c>
      <c r="AQ293" t="s">
        <v>74</v>
      </c>
      <c r="AR293" t="s">
        <v>274</v>
      </c>
      <c r="AS293" t="s">
        <v>275</v>
      </c>
      <c r="AT293" t="s">
        <v>3598</v>
      </c>
      <c r="AU293">
        <v>2002</v>
      </c>
      <c r="AV293">
        <v>25</v>
      </c>
      <c r="AW293">
        <v>4</v>
      </c>
      <c r="AX293" t="s">
        <v>74</v>
      </c>
      <c r="AY293" t="s">
        <v>74</v>
      </c>
      <c r="AZ293" t="s">
        <v>74</v>
      </c>
      <c r="BA293" t="s">
        <v>74</v>
      </c>
      <c r="BB293">
        <v>320</v>
      </c>
      <c r="BC293">
        <v>322</v>
      </c>
      <c r="BD293" t="s">
        <v>74</v>
      </c>
      <c r="BE293" t="s">
        <v>4446</v>
      </c>
      <c r="BF293" t="str">
        <f>HYPERLINK("http://dx.doi.org/10.1007/s00300-001-0352-9","http://dx.doi.org/10.1007/s00300-001-0352-9")</f>
        <v>http://dx.doi.org/10.1007/s00300-001-0352-9</v>
      </c>
      <c r="BG293" t="s">
        <v>74</v>
      </c>
      <c r="BH293" t="s">
        <v>74</v>
      </c>
      <c r="BI293">
        <v>3</v>
      </c>
      <c r="BJ293" t="s">
        <v>277</v>
      </c>
      <c r="BK293" t="s">
        <v>170</v>
      </c>
      <c r="BL293" t="s">
        <v>278</v>
      </c>
      <c r="BM293" t="s">
        <v>4404</v>
      </c>
      <c r="BN293" t="s">
        <v>74</v>
      </c>
      <c r="BO293" t="s">
        <v>74</v>
      </c>
      <c r="BP293" t="s">
        <v>74</v>
      </c>
      <c r="BQ293" t="s">
        <v>74</v>
      </c>
      <c r="BR293" t="s">
        <v>107</v>
      </c>
      <c r="BS293" t="s">
        <v>4447</v>
      </c>
      <c r="BT293" t="str">
        <f>HYPERLINK("https%3A%2F%2Fwww.webofscience.com%2Fwos%2Fwoscc%2Ffull-record%2FWOS:000175038000011","View Full Record in Web of Science")</f>
        <v>View Full Record in Web of Science</v>
      </c>
    </row>
    <row r="294" spans="1:72" x14ac:dyDescent="0.15">
      <c r="A294" t="s">
        <v>72</v>
      </c>
      <c r="B294" t="s">
        <v>4448</v>
      </c>
      <c r="C294" t="s">
        <v>74</v>
      </c>
      <c r="D294" t="s">
        <v>74</v>
      </c>
      <c r="E294" t="s">
        <v>74</v>
      </c>
      <c r="F294" t="s">
        <v>4448</v>
      </c>
      <c r="G294" t="s">
        <v>74</v>
      </c>
      <c r="H294" t="s">
        <v>74</v>
      </c>
      <c r="I294" t="s">
        <v>4449</v>
      </c>
      <c r="J294" t="s">
        <v>4450</v>
      </c>
      <c r="K294" t="s">
        <v>74</v>
      </c>
      <c r="L294" t="s">
        <v>74</v>
      </c>
      <c r="M294" t="s">
        <v>77</v>
      </c>
      <c r="N294" t="s">
        <v>153</v>
      </c>
      <c r="O294" t="s">
        <v>74</v>
      </c>
      <c r="P294" t="s">
        <v>74</v>
      </c>
      <c r="Q294" t="s">
        <v>74</v>
      </c>
      <c r="R294" t="s">
        <v>74</v>
      </c>
      <c r="S294" t="s">
        <v>74</v>
      </c>
      <c r="T294" t="s">
        <v>4451</v>
      </c>
      <c r="U294" t="s">
        <v>4452</v>
      </c>
      <c r="V294" t="s">
        <v>4453</v>
      </c>
      <c r="W294" t="s">
        <v>4454</v>
      </c>
      <c r="X294" t="s">
        <v>4455</v>
      </c>
      <c r="Y294" t="s">
        <v>4456</v>
      </c>
      <c r="Z294" t="s">
        <v>74</v>
      </c>
      <c r="AA294" t="s">
        <v>74</v>
      </c>
      <c r="AB294" t="s">
        <v>74</v>
      </c>
      <c r="AC294" t="s">
        <v>74</v>
      </c>
      <c r="AD294" t="s">
        <v>74</v>
      </c>
      <c r="AE294" t="s">
        <v>74</v>
      </c>
      <c r="AF294" t="s">
        <v>74</v>
      </c>
      <c r="AG294">
        <v>82</v>
      </c>
      <c r="AH294">
        <v>18</v>
      </c>
      <c r="AI294">
        <v>23</v>
      </c>
      <c r="AJ294">
        <v>0</v>
      </c>
      <c r="AK294">
        <v>15</v>
      </c>
      <c r="AL294" t="s">
        <v>4457</v>
      </c>
      <c r="AM294" t="s">
        <v>195</v>
      </c>
      <c r="AN294" t="s">
        <v>4458</v>
      </c>
      <c r="AO294" t="s">
        <v>4459</v>
      </c>
      <c r="AP294" t="s">
        <v>74</v>
      </c>
      <c r="AQ294" t="s">
        <v>74</v>
      </c>
      <c r="AR294" t="s">
        <v>4460</v>
      </c>
      <c r="AS294" t="s">
        <v>4461</v>
      </c>
      <c r="AT294" t="s">
        <v>3978</v>
      </c>
      <c r="AU294">
        <v>2002</v>
      </c>
      <c r="AV294">
        <v>47</v>
      </c>
      <c r="AW294">
        <v>1</v>
      </c>
      <c r="AX294" t="s">
        <v>74</v>
      </c>
      <c r="AY294" t="s">
        <v>74</v>
      </c>
      <c r="AZ294" t="s">
        <v>74</v>
      </c>
      <c r="BA294" t="s">
        <v>74</v>
      </c>
      <c r="BB294">
        <v>31</v>
      </c>
      <c r="BC294">
        <v>44</v>
      </c>
      <c r="BD294" t="s">
        <v>74</v>
      </c>
      <c r="BE294" t="s">
        <v>4462</v>
      </c>
      <c r="BF294" t="str">
        <f>HYPERLINK("http://dx.doi.org/10.1002/prot.10062","http://dx.doi.org/10.1002/prot.10062")</f>
        <v>http://dx.doi.org/10.1002/prot.10062</v>
      </c>
      <c r="BG294" t="s">
        <v>74</v>
      </c>
      <c r="BH294" t="s">
        <v>74</v>
      </c>
      <c r="BI294">
        <v>14</v>
      </c>
      <c r="BJ294" t="s">
        <v>3493</v>
      </c>
      <c r="BK294" t="s">
        <v>170</v>
      </c>
      <c r="BL294" t="s">
        <v>3493</v>
      </c>
      <c r="BM294" t="s">
        <v>4463</v>
      </c>
      <c r="BN294">
        <v>11870863</v>
      </c>
      <c r="BO294" t="s">
        <v>74</v>
      </c>
      <c r="BP294" t="s">
        <v>74</v>
      </c>
      <c r="BQ294" t="s">
        <v>74</v>
      </c>
      <c r="BR294" t="s">
        <v>107</v>
      </c>
      <c r="BS294" t="s">
        <v>4464</v>
      </c>
      <c r="BT294" t="str">
        <f>HYPERLINK("https%3A%2F%2Fwww.webofscience.com%2Fwos%2Fwoscc%2Ffull-record%2FWOS:000174287000004","View Full Record in Web of Science")</f>
        <v>View Full Record in Web of Science</v>
      </c>
    </row>
    <row r="295" spans="1:72" x14ac:dyDescent="0.15">
      <c r="A295" t="s">
        <v>72</v>
      </c>
      <c r="B295" t="s">
        <v>4465</v>
      </c>
      <c r="C295" t="s">
        <v>74</v>
      </c>
      <c r="D295" t="s">
        <v>74</v>
      </c>
      <c r="E295" t="s">
        <v>74</v>
      </c>
      <c r="F295" t="s">
        <v>4465</v>
      </c>
      <c r="G295" t="s">
        <v>74</v>
      </c>
      <c r="H295" t="s">
        <v>74</v>
      </c>
      <c r="I295" t="s">
        <v>4466</v>
      </c>
      <c r="J295" t="s">
        <v>4467</v>
      </c>
      <c r="K295" t="s">
        <v>74</v>
      </c>
      <c r="L295" t="s">
        <v>74</v>
      </c>
      <c r="M295" t="s">
        <v>77</v>
      </c>
      <c r="N295" t="s">
        <v>153</v>
      </c>
      <c r="O295" t="s">
        <v>74</v>
      </c>
      <c r="P295" t="s">
        <v>74</v>
      </c>
      <c r="Q295" t="s">
        <v>74</v>
      </c>
      <c r="R295" t="s">
        <v>74</v>
      </c>
      <c r="S295" t="s">
        <v>74</v>
      </c>
      <c r="T295" t="s">
        <v>4468</v>
      </c>
      <c r="U295" t="s">
        <v>4469</v>
      </c>
      <c r="V295" t="s">
        <v>4470</v>
      </c>
      <c r="W295" t="s">
        <v>851</v>
      </c>
      <c r="X295" t="s">
        <v>852</v>
      </c>
      <c r="Y295" t="s">
        <v>268</v>
      </c>
      <c r="Z295" t="s">
        <v>4471</v>
      </c>
      <c r="AA295" t="s">
        <v>74</v>
      </c>
      <c r="AB295" t="s">
        <v>74</v>
      </c>
      <c r="AC295" t="s">
        <v>74</v>
      </c>
      <c r="AD295" t="s">
        <v>74</v>
      </c>
      <c r="AE295" t="s">
        <v>74</v>
      </c>
      <c r="AF295" t="s">
        <v>74</v>
      </c>
      <c r="AG295">
        <v>62</v>
      </c>
      <c r="AH295">
        <v>51</v>
      </c>
      <c r="AI295">
        <v>56</v>
      </c>
      <c r="AJ295">
        <v>0</v>
      </c>
      <c r="AK295">
        <v>6</v>
      </c>
      <c r="AL295" t="s">
        <v>394</v>
      </c>
      <c r="AM295" t="s">
        <v>395</v>
      </c>
      <c r="AN295" t="s">
        <v>396</v>
      </c>
      <c r="AO295" t="s">
        <v>4472</v>
      </c>
      <c r="AP295" t="s">
        <v>4473</v>
      </c>
      <c r="AQ295" t="s">
        <v>74</v>
      </c>
      <c r="AR295" t="s">
        <v>4467</v>
      </c>
      <c r="AS295" t="s">
        <v>4474</v>
      </c>
      <c r="AT295" t="s">
        <v>3598</v>
      </c>
      <c r="AU295">
        <v>2002</v>
      </c>
      <c r="AV295">
        <v>49</v>
      </c>
      <c r="AW295">
        <v>2</v>
      </c>
      <c r="AX295" t="s">
        <v>74</v>
      </c>
      <c r="AY295" t="s">
        <v>74</v>
      </c>
      <c r="AZ295" t="s">
        <v>74</v>
      </c>
      <c r="BA295" t="s">
        <v>74</v>
      </c>
      <c r="BB295">
        <v>277</v>
      </c>
      <c r="BC295">
        <v>301</v>
      </c>
      <c r="BD295" t="s">
        <v>74</v>
      </c>
      <c r="BE295" t="s">
        <v>4475</v>
      </c>
      <c r="BF295" t="str">
        <f>HYPERLINK("http://dx.doi.org/10.1046/j.1365-3091.2002.00441.x","http://dx.doi.org/10.1046/j.1365-3091.2002.00441.x")</f>
        <v>http://dx.doi.org/10.1046/j.1365-3091.2002.00441.x</v>
      </c>
      <c r="BG295" t="s">
        <v>74</v>
      </c>
      <c r="BH295" t="s">
        <v>74</v>
      </c>
      <c r="BI295">
        <v>25</v>
      </c>
      <c r="BJ295" t="s">
        <v>439</v>
      </c>
      <c r="BK295" t="s">
        <v>170</v>
      </c>
      <c r="BL295" t="s">
        <v>439</v>
      </c>
      <c r="BM295" t="s">
        <v>4476</v>
      </c>
      <c r="BN295" t="s">
        <v>74</v>
      </c>
      <c r="BO295" t="s">
        <v>74</v>
      </c>
      <c r="BP295" t="s">
        <v>74</v>
      </c>
      <c r="BQ295" t="s">
        <v>74</v>
      </c>
      <c r="BR295" t="s">
        <v>107</v>
      </c>
      <c r="BS295" t="s">
        <v>4477</v>
      </c>
      <c r="BT295" t="str">
        <f>HYPERLINK("https%3A%2F%2Fwww.webofscience.com%2Fwos%2Fwoscc%2Ffull-record%2FWOS:000175249000004","View Full Record in Web of Science")</f>
        <v>View Full Record in Web of Science</v>
      </c>
    </row>
    <row r="296" spans="1:72" x14ac:dyDescent="0.15">
      <c r="A296" t="s">
        <v>72</v>
      </c>
      <c r="B296" t="s">
        <v>4478</v>
      </c>
      <c r="C296" t="s">
        <v>74</v>
      </c>
      <c r="D296" t="s">
        <v>74</v>
      </c>
      <c r="E296" t="s">
        <v>74</v>
      </c>
      <c r="F296" t="s">
        <v>4478</v>
      </c>
      <c r="G296" t="s">
        <v>74</v>
      </c>
      <c r="H296" t="s">
        <v>74</v>
      </c>
      <c r="I296" t="s">
        <v>4479</v>
      </c>
      <c r="J296" t="s">
        <v>4480</v>
      </c>
      <c r="K296" t="s">
        <v>74</v>
      </c>
      <c r="L296" t="s">
        <v>74</v>
      </c>
      <c r="M296" t="s">
        <v>77</v>
      </c>
      <c r="N296" t="s">
        <v>947</v>
      </c>
      <c r="O296" t="s">
        <v>74</v>
      </c>
      <c r="P296" t="s">
        <v>74</v>
      </c>
      <c r="Q296" t="s">
        <v>74</v>
      </c>
      <c r="R296" t="s">
        <v>74</v>
      </c>
      <c r="S296" t="s">
        <v>74</v>
      </c>
      <c r="T296" t="s">
        <v>4481</v>
      </c>
      <c r="U296" t="s">
        <v>4482</v>
      </c>
      <c r="V296" t="s">
        <v>4483</v>
      </c>
      <c r="W296" t="s">
        <v>4484</v>
      </c>
      <c r="X296" t="s">
        <v>4485</v>
      </c>
      <c r="Y296" t="s">
        <v>777</v>
      </c>
      <c r="Z296" t="s">
        <v>74</v>
      </c>
      <c r="AA296" t="s">
        <v>4486</v>
      </c>
      <c r="AB296" t="s">
        <v>4487</v>
      </c>
      <c r="AC296" t="s">
        <v>74</v>
      </c>
      <c r="AD296" t="s">
        <v>74</v>
      </c>
      <c r="AE296" t="s">
        <v>74</v>
      </c>
      <c r="AF296" t="s">
        <v>74</v>
      </c>
      <c r="AG296">
        <v>48</v>
      </c>
      <c r="AH296">
        <v>93</v>
      </c>
      <c r="AI296">
        <v>104</v>
      </c>
      <c r="AJ296">
        <v>0</v>
      </c>
      <c r="AK296">
        <v>49</v>
      </c>
      <c r="AL296" t="s">
        <v>4488</v>
      </c>
      <c r="AM296" t="s">
        <v>4489</v>
      </c>
      <c r="AN296" t="s">
        <v>4490</v>
      </c>
      <c r="AO296" t="s">
        <v>4491</v>
      </c>
      <c r="AP296" t="s">
        <v>74</v>
      </c>
      <c r="AQ296" t="s">
        <v>74</v>
      </c>
      <c r="AR296" t="s">
        <v>4492</v>
      </c>
      <c r="AS296" t="s">
        <v>4493</v>
      </c>
      <c r="AT296" t="s">
        <v>3598</v>
      </c>
      <c r="AU296">
        <v>2002</v>
      </c>
      <c r="AV296">
        <v>32</v>
      </c>
      <c r="AW296">
        <v>1</v>
      </c>
      <c r="AX296" t="s">
        <v>74</v>
      </c>
      <c r="AY296" t="s">
        <v>74</v>
      </c>
      <c r="AZ296" t="s">
        <v>74</v>
      </c>
      <c r="BA296" t="s">
        <v>74</v>
      </c>
      <c r="BB296">
        <v>65</v>
      </c>
      <c r="BC296">
        <v>73</v>
      </c>
      <c r="BD296" t="s">
        <v>74</v>
      </c>
      <c r="BE296" t="s">
        <v>74</v>
      </c>
      <c r="BF296" t="s">
        <v>74</v>
      </c>
      <c r="BG296" t="s">
        <v>74</v>
      </c>
      <c r="BH296" t="s">
        <v>74</v>
      </c>
      <c r="BI296">
        <v>9</v>
      </c>
      <c r="BJ296" t="s">
        <v>1940</v>
      </c>
      <c r="BK296" t="s">
        <v>170</v>
      </c>
      <c r="BL296" t="s">
        <v>1941</v>
      </c>
      <c r="BM296" t="s">
        <v>4494</v>
      </c>
      <c r="BN296" t="s">
        <v>74</v>
      </c>
      <c r="BO296" t="s">
        <v>74</v>
      </c>
      <c r="BP296" t="s">
        <v>74</v>
      </c>
      <c r="BQ296" t="s">
        <v>74</v>
      </c>
      <c r="BR296" t="s">
        <v>107</v>
      </c>
      <c r="BS296" t="s">
        <v>4495</v>
      </c>
      <c r="BT296" t="str">
        <f>HYPERLINK("https%3A%2F%2Fwww.webofscience.com%2Fwos%2Fwoscc%2Ffull-record%2FWOS:000176830500009","View Full Record in Web of Science")</f>
        <v>View Full Record in Web of Science</v>
      </c>
    </row>
    <row r="297" spans="1:72" x14ac:dyDescent="0.15">
      <c r="A297" t="s">
        <v>72</v>
      </c>
      <c r="B297" t="s">
        <v>4496</v>
      </c>
      <c r="C297" t="s">
        <v>74</v>
      </c>
      <c r="D297" t="s">
        <v>74</v>
      </c>
      <c r="E297" t="s">
        <v>74</v>
      </c>
      <c r="F297" t="s">
        <v>4496</v>
      </c>
      <c r="G297" t="s">
        <v>74</v>
      </c>
      <c r="H297" t="s">
        <v>74</v>
      </c>
      <c r="I297" t="s">
        <v>4497</v>
      </c>
      <c r="J297" t="s">
        <v>444</v>
      </c>
      <c r="K297" t="s">
        <v>74</v>
      </c>
      <c r="L297" t="s">
        <v>74</v>
      </c>
      <c r="M297" t="s">
        <v>77</v>
      </c>
      <c r="N297" t="s">
        <v>153</v>
      </c>
      <c r="O297" t="s">
        <v>74</v>
      </c>
      <c r="P297" t="s">
        <v>74</v>
      </c>
      <c r="Q297" t="s">
        <v>74</v>
      </c>
      <c r="R297" t="s">
        <v>74</v>
      </c>
      <c r="S297" t="s">
        <v>74</v>
      </c>
      <c r="T297" t="s">
        <v>74</v>
      </c>
      <c r="U297" t="s">
        <v>4498</v>
      </c>
      <c r="V297" t="s">
        <v>4499</v>
      </c>
      <c r="W297" t="s">
        <v>4500</v>
      </c>
      <c r="X297" t="s">
        <v>4501</v>
      </c>
      <c r="Y297" t="s">
        <v>4502</v>
      </c>
      <c r="Z297" t="s">
        <v>74</v>
      </c>
      <c r="AA297" t="s">
        <v>4503</v>
      </c>
      <c r="AB297" t="s">
        <v>4504</v>
      </c>
      <c r="AC297" t="s">
        <v>74</v>
      </c>
      <c r="AD297" t="s">
        <v>74</v>
      </c>
      <c r="AE297" t="s">
        <v>74</v>
      </c>
      <c r="AF297" t="s">
        <v>74</v>
      </c>
      <c r="AG297">
        <v>17</v>
      </c>
      <c r="AH297">
        <v>16</v>
      </c>
      <c r="AI297">
        <v>19</v>
      </c>
      <c r="AJ297">
        <v>0</v>
      </c>
      <c r="AK297">
        <v>2</v>
      </c>
      <c r="AL297" t="s">
        <v>4505</v>
      </c>
      <c r="AM297" t="s">
        <v>4506</v>
      </c>
      <c r="AN297" t="s">
        <v>4507</v>
      </c>
      <c r="AO297" t="s">
        <v>4508</v>
      </c>
      <c r="AP297" t="s">
        <v>74</v>
      </c>
      <c r="AQ297" t="s">
        <v>74</v>
      </c>
      <c r="AR297" t="s">
        <v>457</v>
      </c>
      <c r="AS297" t="s">
        <v>458</v>
      </c>
      <c r="AT297" t="s">
        <v>3598</v>
      </c>
      <c r="AU297">
        <v>2002</v>
      </c>
      <c r="AV297">
        <v>54</v>
      </c>
      <c r="AW297">
        <v>2</v>
      </c>
      <c r="AX297" t="s">
        <v>74</v>
      </c>
      <c r="AY297" t="s">
        <v>74</v>
      </c>
      <c r="AZ297" t="s">
        <v>74</v>
      </c>
      <c r="BA297" t="s">
        <v>74</v>
      </c>
      <c r="BB297">
        <v>186</v>
      </c>
      <c r="BC297">
        <v>192</v>
      </c>
      <c r="BD297" t="s">
        <v>74</v>
      </c>
      <c r="BE297" t="s">
        <v>4509</v>
      </c>
      <c r="BF297" t="str">
        <f>HYPERLINK("http://dx.doi.org/10.1034/j.1600-0889.2002.00274.x","http://dx.doi.org/10.1034/j.1600-0889.2002.00274.x")</f>
        <v>http://dx.doi.org/10.1034/j.1600-0889.2002.00274.x</v>
      </c>
      <c r="BG297" t="s">
        <v>74</v>
      </c>
      <c r="BH297" t="s">
        <v>74</v>
      </c>
      <c r="BI297">
        <v>7</v>
      </c>
      <c r="BJ297" t="s">
        <v>403</v>
      </c>
      <c r="BK297" t="s">
        <v>170</v>
      </c>
      <c r="BL297" t="s">
        <v>403</v>
      </c>
      <c r="BM297" t="s">
        <v>4510</v>
      </c>
      <c r="BN297" t="s">
        <v>74</v>
      </c>
      <c r="BO297" t="s">
        <v>74</v>
      </c>
      <c r="BP297" t="s">
        <v>74</v>
      </c>
      <c r="BQ297" t="s">
        <v>74</v>
      </c>
      <c r="BR297" t="s">
        <v>107</v>
      </c>
      <c r="BS297" t="s">
        <v>4511</v>
      </c>
      <c r="BT297" t="str">
        <f>HYPERLINK("https%3A%2F%2Fwww.webofscience.com%2Fwos%2Fwoscc%2Ffull-record%2FWOS:000174791200007","View Full Record in Web of Science")</f>
        <v>View Full Record in Web of Science</v>
      </c>
    </row>
    <row r="298" spans="1:72" x14ac:dyDescent="0.15">
      <c r="A298" t="s">
        <v>72</v>
      </c>
      <c r="B298" t="s">
        <v>4512</v>
      </c>
      <c r="C298" t="s">
        <v>74</v>
      </c>
      <c r="D298" t="s">
        <v>74</v>
      </c>
      <c r="E298" t="s">
        <v>74</v>
      </c>
      <c r="F298" t="s">
        <v>4512</v>
      </c>
      <c r="G298" t="s">
        <v>74</v>
      </c>
      <c r="H298" t="s">
        <v>74</v>
      </c>
      <c r="I298" t="s">
        <v>4513</v>
      </c>
      <c r="J298" t="s">
        <v>4514</v>
      </c>
      <c r="K298" t="s">
        <v>74</v>
      </c>
      <c r="L298" t="s">
        <v>74</v>
      </c>
      <c r="M298" t="s">
        <v>77</v>
      </c>
      <c r="N298" t="s">
        <v>153</v>
      </c>
      <c r="O298" t="s">
        <v>74</v>
      </c>
      <c r="P298" t="s">
        <v>74</v>
      </c>
      <c r="Q298" t="s">
        <v>74</v>
      </c>
      <c r="R298" t="s">
        <v>74</v>
      </c>
      <c r="S298" t="s">
        <v>74</v>
      </c>
      <c r="T298" t="s">
        <v>4515</v>
      </c>
      <c r="U298" t="s">
        <v>4516</v>
      </c>
      <c r="V298" t="s">
        <v>4517</v>
      </c>
      <c r="W298" t="s">
        <v>4518</v>
      </c>
      <c r="X298" t="s">
        <v>311</v>
      </c>
      <c r="Y298" t="s">
        <v>4519</v>
      </c>
      <c r="Z298" t="s">
        <v>4520</v>
      </c>
      <c r="AA298" t="s">
        <v>4521</v>
      </c>
      <c r="AB298" t="s">
        <v>4522</v>
      </c>
      <c r="AC298" t="s">
        <v>74</v>
      </c>
      <c r="AD298" t="s">
        <v>74</v>
      </c>
      <c r="AE298" t="s">
        <v>74</v>
      </c>
      <c r="AF298" t="s">
        <v>74</v>
      </c>
      <c r="AG298">
        <v>45</v>
      </c>
      <c r="AH298">
        <v>34</v>
      </c>
      <c r="AI298">
        <v>38</v>
      </c>
      <c r="AJ298">
        <v>0</v>
      </c>
      <c r="AK298">
        <v>14</v>
      </c>
      <c r="AL298" t="s">
        <v>4523</v>
      </c>
      <c r="AM298" t="s">
        <v>4524</v>
      </c>
      <c r="AN298" t="s">
        <v>4525</v>
      </c>
      <c r="AO298" t="s">
        <v>4526</v>
      </c>
      <c r="AP298" t="s">
        <v>74</v>
      </c>
      <c r="AQ298" t="s">
        <v>74</v>
      </c>
      <c r="AR298" t="s">
        <v>4527</v>
      </c>
      <c r="AS298" t="s">
        <v>4528</v>
      </c>
      <c r="AT298" t="s">
        <v>3598</v>
      </c>
      <c r="AU298">
        <v>2002</v>
      </c>
      <c r="AV298">
        <v>34</v>
      </c>
      <c r="AW298">
        <v>2</v>
      </c>
      <c r="AX298" t="s">
        <v>74</v>
      </c>
      <c r="AY298" t="s">
        <v>74</v>
      </c>
      <c r="AZ298" t="s">
        <v>74</v>
      </c>
      <c r="BA298" t="s">
        <v>74</v>
      </c>
      <c r="BB298">
        <v>63</v>
      </c>
      <c r="BC298">
        <v>72</v>
      </c>
      <c r="BD298" t="s">
        <v>74</v>
      </c>
      <c r="BE298" t="s">
        <v>4529</v>
      </c>
      <c r="BF298" t="str">
        <f>HYPERLINK("http://dx.doi.org/10.1016/S0040-8166(02)00005-8","http://dx.doi.org/10.1016/S0040-8166(02)00005-8")</f>
        <v>http://dx.doi.org/10.1016/S0040-8166(02)00005-8</v>
      </c>
      <c r="BG298" t="s">
        <v>74</v>
      </c>
      <c r="BH298" t="s">
        <v>74</v>
      </c>
      <c r="BI298">
        <v>10</v>
      </c>
      <c r="BJ298" t="s">
        <v>4530</v>
      </c>
      <c r="BK298" t="s">
        <v>170</v>
      </c>
      <c r="BL298" t="s">
        <v>4530</v>
      </c>
      <c r="BM298" t="s">
        <v>4531</v>
      </c>
      <c r="BN298">
        <v>12165240</v>
      </c>
      <c r="BO298" t="s">
        <v>74</v>
      </c>
      <c r="BP298" t="s">
        <v>74</v>
      </c>
      <c r="BQ298" t="s">
        <v>74</v>
      </c>
      <c r="BR298" t="s">
        <v>107</v>
      </c>
      <c r="BS298" t="s">
        <v>4532</v>
      </c>
      <c r="BT298" t="str">
        <f>HYPERLINK("https%3A%2F%2Fwww.webofscience.com%2Fwos%2Fwoscc%2Ffull-record%2FWOS:000177740400002","View Full Record in Web of Science")</f>
        <v>View Full Record in Web of Science</v>
      </c>
    </row>
    <row r="299" spans="1:72" x14ac:dyDescent="0.15">
      <c r="A299" t="s">
        <v>72</v>
      </c>
      <c r="B299" t="s">
        <v>4533</v>
      </c>
      <c r="C299" t="s">
        <v>74</v>
      </c>
      <c r="D299" t="s">
        <v>74</v>
      </c>
      <c r="E299" t="s">
        <v>74</v>
      </c>
      <c r="F299" t="s">
        <v>4533</v>
      </c>
      <c r="G299" t="s">
        <v>74</v>
      </c>
      <c r="H299" t="s">
        <v>74</v>
      </c>
      <c r="I299" t="s">
        <v>4534</v>
      </c>
      <c r="J299" t="s">
        <v>4535</v>
      </c>
      <c r="K299" t="s">
        <v>74</v>
      </c>
      <c r="L299" t="s">
        <v>74</v>
      </c>
      <c r="M299" t="s">
        <v>77</v>
      </c>
      <c r="N299" t="s">
        <v>1790</v>
      </c>
      <c r="O299" t="s">
        <v>74</v>
      </c>
      <c r="P299" t="s">
        <v>74</v>
      </c>
      <c r="Q299" t="s">
        <v>74</v>
      </c>
      <c r="R299" t="s">
        <v>74</v>
      </c>
      <c r="S299" t="s">
        <v>74</v>
      </c>
      <c r="T299" t="s">
        <v>74</v>
      </c>
      <c r="U299" t="s">
        <v>74</v>
      </c>
      <c r="V299" t="s">
        <v>74</v>
      </c>
      <c r="W299" t="s">
        <v>74</v>
      </c>
      <c r="X299" t="s">
        <v>74</v>
      </c>
      <c r="Y299" t="s">
        <v>74</v>
      </c>
      <c r="Z299" t="s">
        <v>74</v>
      </c>
      <c r="AA299" t="s">
        <v>74</v>
      </c>
      <c r="AB299" t="s">
        <v>74</v>
      </c>
      <c r="AC299" t="s">
        <v>74</v>
      </c>
      <c r="AD299" t="s">
        <v>74</v>
      </c>
      <c r="AE299" t="s">
        <v>74</v>
      </c>
      <c r="AF299" t="s">
        <v>74</v>
      </c>
      <c r="AG299">
        <v>0</v>
      </c>
      <c r="AH299">
        <v>2</v>
      </c>
      <c r="AI299">
        <v>5</v>
      </c>
      <c r="AJ299">
        <v>0</v>
      </c>
      <c r="AK299">
        <v>0</v>
      </c>
      <c r="AL299" t="s">
        <v>4536</v>
      </c>
      <c r="AM299" t="s">
        <v>1127</v>
      </c>
      <c r="AN299" t="s">
        <v>1128</v>
      </c>
      <c r="AO299" t="s">
        <v>4537</v>
      </c>
      <c r="AP299" t="s">
        <v>74</v>
      </c>
      <c r="AQ299" t="s">
        <v>74</v>
      </c>
      <c r="AR299" t="s">
        <v>4535</v>
      </c>
      <c r="AS299" t="s">
        <v>4538</v>
      </c>
      <c r="AT299" t="s">
        <v>4539</v>
      </c>
      <c r="AU299">
        <v>2002</v>
      </c>
      <c r="AV299">
        <v>359</v>
      </c>
      <c r="AW299">
        <v>9312</v>
      </c>
      <c r="AX299" t="s">
        <v>74</v>
      </c>
      <c r="AY299" t="s">
        <v>74</v>
      </c>
      <c r="AZ299" t="s">
        <v>74</v>
      </c>
      <c r="BA299" t="s">
        <v>74</v>
      </c>
      <c r="BB299">
        <v>1130</v>
      </c>
      <c r="BC299">
        <v>1130</v>
      </c>
      <c r="BD299" t="s">
        <v>74</v>
      </c>
      <c r="BE299" t="s">
        <v>4540</v>
      </c>
      <c r="BF299" t="str">
        <f>HYPERLINK("http://dx.doi.org/10.1016/S0140-6736(02)08185-0","http://dx.doi.org/10.1016/S0140-6736(02)08185-0")</f>
        <v>http://dx.doi.org/10.1016/S0140-6736(02)08185-0</v>
      </c>
      <c r="BG299" t="s">
        <v>74</v>
      </c>
      <c r="BH299" t="s">
        <v>74</v>
      </c>
      <c r="BI299">
        <v>1</v>
      </c>
      <c r="BJ299" t="s">
        <v>4541</v>
      </c>
      <c r="BK299" t="s">
        <v>170</v>
      </c>
      <c r="BL299" t="s">
        <v>4542</v>
      </c>
      <c r="BM299" t="s">
        <v>4543</v>
      </c>
      <c r="BN299">
        <v>11943271</v>
      </c>
      <c r="BO299" t="s">
        <v>74</v>
      </c>
      <c r="BP299" t="s">
        <v>74</v>
      </c>
      <c r="BQ299" t="s">
        <v>74</v>
      </c>
      <c r="BR299" t="s">
        <v>107</v>
      </c>
      <c r="BS299" t="s">
        <v>4544</v>
      </c>
      <c r="BT299" t="str">
        <f>HYPERLINK("https%3A%2F%2Fwww.webofscience.com%2Fwos%2Fwoscc%2Ffull-record%2FWOS:000174729200022","View Full Record in Web of Science")</f>
        <v>View Full Record in Web of Science</v>
      </c>
    </row>
    <row r="300" spans="1:72" x14ac:dyDescent="0.15">
      <c r="A300" t="s">
        <v>72</v>
      </c>
      <c r="B300" t="s">
        <v>4545</v>
      </c>
      <c r="C300" t="s">
        <v>74</v>
      </c>
      <c r="D300" t="s">
        <v>74</v>
      </c>
      <c r="E300" t="s">
        <v>74</v>
      </c>
      <c r="F300" t="s">
        <v>4545</v>
      </c>
      <c r="G300" t="s">
        <v>74</v>
      </c>
      <c r="H300" t="s">
        <v>74</v>
      </c>
      <c r="I300" t="s">
        <v>4546</v>
      </c>
      <c r="J300" t="s">
        <v>646</v>
      </c>
      <c r="K300" t="s">
        <v>74</v>
      </c>
      <c r="L300" t="s">
        <v>74</v>
      </c>
      <c r="M300" t="s">
        <v>77</v>
      </c>
      <c r="N300" t="s">
        <v>153</v>
      </c>
      <c r="O300" t="s">
        <v>74</v>
      </c>
      <c r="P300" t="s">
        <v>74</v>
      </c>
      <c r="Q300" t="s">
        <v>74</v>
      </c>
      <c r="R300" t="s">
        <v>74</v>
      </c>
      <c r="S300" t="s">
        <v>74</v>
      </c>
      <c r="T300" t="s">
        <v>74</v>
      </c>
      <c r="U300" t="s">
        <v>4547</v>
      </c>
      <c r="V300" t="s">
        <v>4548</v>
      </c>
      <c r="W300" t="s">
        <v>4549</v>
      </c>
      <c r="X300" t="s">
        <v>4550</v>
      </c>
      <c r="Y300" t="s">
        <v>4551</v>
      </c>
      <c r="Z300" t="s">
        <v>4552</v>
      </c>
      <c r="AA300" t="s">
        <v>74</v>
      </c>
      <c r="AB300" t="s">
        <v>74</v>
      </c>
      <c r="AC300" t="s">
        <v>74</v>
      </c>
      <c r="AD300" t="s">
        <v>74</v>
      </c>
      <c r="AE300" t="s">
        <v>74</v>
      </c>
      <c r="AF300" t="s">
        <v>74</v>
      </c>
      <c r="AG300">
        <v>36</v>
      </c>
      <c r="AH300">
        <v>242</v>
      </c>
      <c r="AI300">
        <v>272</v>
      </c>
      <c r="AJ300">
        <v>2</v>
      </c>
      <c r="AK300">
        <v>50</v>
      </c>
      <c r="AL300" t="s">
        <v>655</v>
      </c>
      <c r="AM300" t="s">
        <v>162</v>
      </c>
      <c r="AN300" t="s">
        <v>656</v>
      </c>
      <c r="AO300" t="s">
        <v>657</v>
      </c>
      <c r="AP300" t="s">
        <v>74</v>
      </c>
      <c r="AQ300" t="s">
        <v>74</v>
      </c>
      <c r="AR300" t="s">
        <v>646</v>
      </c>
      <c r="AS300" t="s">
        <v>659</v>
      </c>
      <c r="AT300" t="s">
        <v>4553</v>
      </c>
      <c r="AU300">
        <v>2002</v>
      </c>
      <c r="AV300">
        <v>295</v>
      </c>
      <c r="AW300">
        <v>5564</v>
      </c>
      <c r="AX300" t="s">
        <v>74</v>
      </c>
      <c r="AY300" t="s">
        <v>74</v>
      </c>
      <c r="AZ300" t="s">
        <v>74</v>
      </c>
      <c r="BA300" t="s">
        <v>74</v>
      </c>
      <c r="BB300">
        <v>2438</v>
      </c>
      <c r="BC300">
        <v>2441</v>
      </c>
      <c r="BD300" t="s">
        <v>74</v>
      </c>
      <c r="BE300" t="s">
        <v>74</v>
      </c>
      <c r="BF300" t="s">
        <v>74</v>
      </c>
      <c r="BG300" t="s">
        <v>74</v>
      </c>
      <c r="BH300" t="s">
        <v>74</v>
      </c>
      <c r="BI300">
        <v>4</v>
      </c>
      <c r="BJ300" t="s">
        <v>662</v>
      </c>
      <c r="BK300" t="s">
        <v>170</v>
      </c>
      <c r="BL300" t="s">
        <v>663</v>
      </c>
      <c r="BM300" t="s">
        <v>4554</v>
      </c>
      <c r="BN300">
        <v>11896236</v>
      </c>
      <c r="BO300" t="s">
        <v>74</v>
      </c>
      <c r="BP300" t="s">
        <v>74</v>
      </c>
      <c r="BQ300" t="s">
        <v>74</v>
      </c>
      <c r="BR300" t="s">
        <v>107</v>
      </c>
      <c r="BS300" t="s">
        <v>4555</v>
      </c>
      <c r="BT300" t="str">
        <f>HYPERLINK("https%3A%2F%2Fwww.webofscience.com%2Fwos%2Fwoscc%2Ffull-record%2FWOS:000174712600052","View Full Record in Web of Science")</f>
        <v>View Full Record in Web of Science</v>
      </c>
    </row>
    <row r="301" spans="1:72" x14ac:dyDescent="0.15">
      <c r="A301" t="s">
        <v>72</v>
      </c>
      <c r="B301" t="s">
        <v>4556</v>
      </c>
      <c r="C301" t="s">
        <v>74</v>
      </c>
      <c r="D301" t="s">
        <v>74</v>
      </c>
      <c r="E301" t="s">
        <v>74</v>
      </c>
      <c r="F301" t="s">
        <v>4556</v>
      </c>
      <c r="G301" t="s">
        <v>74</v>
      </c>
      <c r="H301" t="s">
        <v>74</v>
      </c>
      <c r="I301" t="s">
        <v>4557</v>
      </c>
      <c r="J301" t="s">
        <v>2137</v>
      </c>
      <c r="K301" t="s">
        <v>74</v>
      </c>
      <c r="L301" t="s">
        <v>74</v>
      </c>
      <c r="M301" t="s">
        <v>77</v>
      </c>
      <c r="N301" t="s">
        <v>751</v>
      </c>
      <c r="O301" t="s">
        <v>74</v>
      </c>
      <c r="P301" t="s">
        <v>74</v>
      </c>
      <c r="Q301" t="s">
        <v>74</v>
      </c>
      <c r="R301" t="s">
        <v>74</v>
      </c>
      <c r="S301" t="s">
        <v>74</v>
      </c>
      <c r="T301" t="s">
        <v>74</v>
      </c>
      <c r="U301" t="s">
        <v>74</v>
      </c>
      <c r="V301" t="s">
        <v>74</v>
      </c>
      <c r="W301" t="s">
        <v>4558</v>
      </c>
      <c r="X301" t="s">
        <v>4559</v>
      </c>
      <c r="Y301" t="s">
        <v>4560</v>
      </c>
      <c r="Z301" t="s">
        <v>74</v>
      </c>
      <c r="AA301" t="s">
        <v>4561</v>
      </c>
      <c r="AB301" t="s">
        <v>4562</v>
      </c>
      <c r="AC301" t="s">
        <v>74</v>
      </c>
      <c r="AD301" t="s">
        <v>74</v>
      </c>
      <c r="AE301" t="s">
        <v>74</v>
      </c>
      <c r="AF301" t="s">
        <v>74</v>
      </c>
      <c r="AG301">
        <v>6</v>
      </c>
      <c r="AH301">
        <v>1</v>
      </c>
      <c r="AI301">
        <v>1</v>
      </c>
      <c r="AJ301">
        <v>0</v>
      </c>
      <c r="AK301">
        <v>0</v>
      </c>
      <c r="AL301" t="s">
        <v>132</v>
      </c>
      <c r="AM301" t="s">
        <v>91</v>
      </c>
      <c r="AN301" t="s">
        <v>133</v>
      </c>
      <c r="AO301" t="s">
        <v>2150</v>
      </c>
      <c r="AP301" t="s">
        <v>74</v>
      </c>
      <c r="AQ301" t="s">
        <v>74</v>
      </c>
      <c r="AR301" t="s">
        <v>2137</v>
      </c>
      <c r="AS301" t="s">
        <v>2152</v>
      </c>
      <c r="AT301" t="s">
        <v>4553</v>
      </c>
      <c r="AU301">
        <v>2002</v>
      </c>
      <c r="AV301">
        <v>347</v>
      </c>
      <c r="AW301" t="s">
        <v>3240</v>
      </c>
      <c r="AX301" t="s">
        <v>74</v>
      </c>
      <c r="AY301" t="s">
        <v>74</v>
      </c>
      <c r="AZ301" t="s">
        <v>74</v>
      </c>
      <c r="BA301" t="s">
        <v>74</v>
      </c>
      <c r="BB301">
        <v>1</v>
      </c>
      <c r="BC301">
        <v>2</v>
      </c>
      <c r="BD301" t="s">
        <v>4563</v>
      </c>
      <c r="BE301" t="s">
        <v>4564</v>
      </c>
      <c r="BF301" t="str">
        <f>HYPERLINK("http://dx.doi.org/10.1016/S0040-1951(01)00233-5","http://dx.doi.org/10.1016/S0040-1951(01)00233-5")</f>
        <v>http://dx.doi.org/10.1016/S0040-1951(01)00233-5</v>
      </c>
      <c r="BG301" t="s">
        <v>74</v>
      </c>
      <c r="BH301" t="s">
        <v>74</v>
      </c>
      <c r="BI301">
        <v>2</v>
      </c>
      <c r="BJ301" t="s">
        <v>556</v>
      </c>
      <c r="BK301" t="s">
        <v>170</v>
      </c>
      <c r="BL301" t="s">
        <v>556</v>
      </c>
      <c r="BM301" t="s">
        <v>4565</v>
      </c>
      <c r="BN301" t="s">
        <v>74</v>
      </c>
      <c r="BO301" t="s">
        <v>74</v>
      </c>
      <c r="BP301" t="s">
        <v>74</v>
      </c>
      <c r="BQ301" t="s">
        <v>74</v>
      </c>
      <c r="BR301" t="s">
        <v>107</v>
      </c>
      <c r="BS301" t="s">
        <v>4566</v>
      </c>
      <c r="BT301" t="str">
        <f>HYPERLINK("https%3A%2F%2Fwww.webofscience.com%2Fwos%2Fwoscc%2Ffull-record%2FWOS:000176111600001","View Full Record in Web of Science")</f>
        <v>View Full Record in Web of Science</v>
      </c>
    </row>
    <row r="302" spans="1:72" x14ac:dyDescent="0.15">
      <c r="A302" t="s">
        <v>72</v>
      </c>
      <c r="B302" t="s">
        <v>4567</v>
      </c>
      <c r="C302" t="s">
        <v>74</v>
      </c>
      <c r="D302" t="s">
        <v>74</v>
      </c>
      <c r="E302" t="s">
        <v>74</v>
      </c>
      <c r="F302" t="s">
        <v>4567</v>
      </c>
      <c r="G302" t="s">
        <v>74</v>
      </c>
      <c r="H302" t="s">
        <v>74</v>
      </c>
      <c r="I302" t="s">
        <v>4568</v>
      </c>
      <c r="J302" t="s">
        <v>2137</v>
      </c>
      <c r="K302" t="s">
        <v>74</v>
      </c>
      <c r="L302" t="s">
        <v>74</v>
      </c>
      <c r="M302" t="s">
        <v>77</v>
      </c>
      <c r="N302" t="s">
        <v>78</v>
      </c>
      <c r="O302" t="s">
        <v>4569</v>
      </c>
      <c r="P302">
        <v>1999</v>
      </c>
      <c r="Q302" t="s">
        <v>4570</v>
      </c>
      <c r="R302" t="s">
        <v>74</v>
      </c>
      <c r="S302" t="s">
        <v>74</v>
      </c>
      <c r="T302" t="s">
        <v>4571</v>
      </c>
      <c r="U302" t="s">
        <v>4572</v>
      </c>
      <c r="V302" t="s">
        <v>4573</v>
      </c>
      <c r="W302" t="s">
        <v>4574</v>
      </c>
      <c r="X302" t="s">
        <v>4575</v>
      </c>
      <c r="Y302" t="s">
        <v>4576</v>
      </c>
      <c r="Z302" t="s">
        <v>74</v>
      </c>
      <c r="AA302" t="s">
        <v>74</v>
      </c>
      <c r="AB302" t="s">
        <v>4577</v>
      </c>
      <c r="AC302" t="s">
        <v>74</v>
      </c>
      <c r="AD302" t="s">
        <v>74</v>
      </c>
      <c r="AE302" t="s">
        <v>74</v>
      </c>
      <c r="AF302" t="s">
        <v>74</v>
      </c>
      <c r="AG302">
        <v>37</v>
      </c>
      <c r="AH302">
        <v>14</v>
      </c>
      <c r="AI302">
        <v>15</v>
      </c>
      <c r="AJ302">
        <v>0</v>
      </c>
      <c r="AK302">
        <v>9</v>
      </c>
      <c r="AL302" t="s">
        <v>132</v>
      </c>
      <c r="AM302" t="s">
        <v>91</v>
      </c>
      <c r="AN302" t="s">
        <v>133</v>
      </c>
      <c r="AO302" t="s">
        <v>2150</v>
      </c>
      <c r="AP302" t="s">
        <v>74</v>
      </c>
      <c r="AQ302" t="s">
        <v>74</v>
      </c>
      <c r="AR302" t="s">
        <v>2137</v>
      </c>
      <c r="AS302" t="s">
        <v>2152</v>
      </c>
      <c r="AT302" t="s">
        <v>4553</v>
      </c>
      <c r="AU302">
        <v>2002</v>
      </c>
      <c r="AV302">
        <v>347</v>
      </c>
      <c r="AW302" t="s">
        <v>3240</v>
      </c>
      <c r="AX302" t="s">
        <v>74</v>
      </c>
      <c r="AY302" t="s">
        <v>74</v>
      </c>
      <c r="AZ302" t="s">
        <v>74</v>
      </c>
      <c r="BA302" t="s">
        <v>74</v>
      </c>
      <c r="BB302">
        <v>3</v>
      </c>
      <c r="BC302">
        <v>11</v>
      </c>
      <c r="BD302" t="s">
        <v>4578</v>
      </c>
      <c r="BE302" t="s">
        <v>4579</v>
      </c>
      <c r="BF302" t="str">
        <f>HYPERLINK("http://dx.doi.org/10.1016/S0040-1951(01)00234-7","http://dx.doi.org/10.1016/S0040-1951(01)00234-7")</f>
        <v>http://dx.doi.org/10.1016/S0040-1951(01)00234-7</v>
      </c>
      <c r="BG302" t="s">
        <v>74</v>
      </c>
      <c r="BH302" t="s">
        <v>74</v>
      </c>
      <c r="BI302">
        <v>9</v>
      </c>
      <c r="BJ302" t="s">
        <v>556</v>
      </c>
      <c r="BK302" t="s">
        <v>744</v>
      </c>
      <c r="BL302" t="s">
        <v>556</v>
      </c>
      <c r="BM302" t="s">
        <v>4565</v>
      </c>
      <c r="BN302" t="s">
        <v>74</v>
      </c>
      <c r="BO302" t="s">
        <v>74</v>
      </c>
      <c r="BP302" t="s">
        <v>74</v>
      </c>
      <c r="BQ302" t="s">
        <v>74</v>
      </c>
      <c r="BR302" t="s">
        <v>107</v>
      </c>
      <c r="BS302" t="s">
        <v>4580</v>
      </c>
      <c r="BT302" t="str">
        <f>HYPERLINK("https%3A%2F%2Fwww.webofscience.com%2Fwos%2Fwoscc%2Ffull-record%2FWOS:000176111600002","View Full Record in Web of Science")</f>
        <v>View Full Record in Web of Science</v>
      </c>
    </row>
    <row r="303" spans="1:72" x14ac:dyDescent="0.15">
      <c r="A303" t="s">
        <v>72</v>
      </c>
      <c r="B303" t="s">
        <v>4581</v>
      </c>
      <c r="C303" t="s">
        <v>74</v>
      </c>
      <c r="D303" t="s">
        <v>74</v>
      </c>
      <c r="E303" t="s">
        <v>74</v>
      </c>
      <c r="F303" t="s">
        <v>4581</v>
      </c>
      <c r="G303" t="s">
        <v>74</v>
      </c>
      <c r="H303" t="s">
        <v>74</v>
      </c>
      <c r="I303" t="s">
        <v>4582</v>
      </c>
      <c r="J303" t="s">
        <v>2137</v>
      </c>
      <c r="K303" t="s">
        <v>74</v>
      </c>
      <c r="L303" t="s">
        <v>74</v>
      </c>
      <c r="M303" t="s">
        <v>77</v>
      </c>
      <c r="N303" t="s">
        <v>78</v>
      </c>
      <c r="O303" t="s">
        <v>4569</v>
      </c>
      <c r="P303">
        <v>1999</v>
      </c>
      <c r="Q303" t="s">
        <v>4570</v>
      </c>
      <c r="R303" t="s">
        <v>74</v>
      </c>
      <c r="S303" t="s">
        <v>74</v>
      </c>
      <c r="T303" t="s">
        <v>4583</v>
      </c>
      <c r="U303" t="s">
        <v>74</v>
      </c>
      <c r="V303" t="s">
        <v>4584</v>
      </c>
      <c r="W303" t="s">
        <v>2466</v>
      </c>
      <c r="X303" t="s">
        <v>852</v>
      </c>
      <c r="Y303" t="s">
        <v>4585</v>
      </c>
      <c r="Z303" t="s">
        <v>74</v>
      </c>
      <c r="AA303" t="s">
        <v>4586</v>
      </c>
      <c r="AB303" t="s">
        <v>74</v>
      </c>
      <c r="AC303" t="s">
        <v>74</v>
      </c>
      <c r="AD303" t="s">
        <v>74</v>
      </c>
      <c r="AE303" t="s">
        <v>74</v>
      </c>
      <c r="AF303" t="s">
        <v>74</v>
      </c>
      <c r="AG303">
        <v>18</v>
      </c>
      <c r="AH303">
        <v>11</v>
      </c>
      <c r="AI303">
        <v>11</v>
      </c>
      <c r="AJ303">
        <v>0</v>
      </c>
      <c r="AK303">
        <v>1</v>
      </c>
      <c r="AL303" t="s">
        <v>132</v>
      </c>
      <c r="AM303" t="s">
        <v>91</v>
      </c>
      <c r="AN303" t="s">
        <v>133</v>
      </c>
      <c r="AO303" t="s">
        <v>2150</v>
      </c>
      <c r="AP303" t="s">
        <v>74</v>
      </c>
      <c r="AQ303" t="s">
        <v>74</v>
      </c>
      <c r="AR303" t="s">
        <v>2137</v>
      </c>
      <c r="AS303" t="s">
        <v>2152</v>
      </c>
      <c r="AT303" t="s">
        <v>4553</v>
      </c>
      <c r="AU303">
        <v>2002</v>
      </c>
      <c r="AV303">
        <v>347</v>
      </c>
      <c r="AW303" t="s">
        <v>3240</v>
      </c>
      <c r="AX303" t="s">
        <v>74</v>
      </c>
      <c r="AY303" t="s">
        <v>74</v>
      </c>
      <c r="AZ303" t="s">
        <v>74</v>
      </c>
      <c r="BA303" t="s">
        <v>74</v>
      </c>
      <c r="BB303">
        <v>13</v>
      </c>
      <c r="BC303">
        <v>23</v>
      </c>
      <c r="BD303" t="s">
        <v>4587</v>
      </c>
      <c r="BE303" t="s">
        <v>4588</v>
      </c>
      <c r="BF303" t="str">
        <f>HYPERLINK("http://dx.doi.org/10.1016/S0040-1951(01)00235-9","http://dx.doi.org/10.1016/S0040-1951(01)00235-9")</f>
        <v>http://dx.doi.org/10.1016/S0040-1951(01)00235-9</v>
      </c>
      <c r="BG303" t="s">
        <v>74</v>
      </c>
      <c r="BH303" t="s">
        <v>74</v>
      </c>
      <c r="BI303">
        <v>11</v>
      </c>
      <c r="BJ303" t="s">
        <v>556</v>
      </c>
      <c r="BK303" t="s">
        <v>744</v>
      </c>
      <c r="BL303" t="s">
        <v>556</v>
      </c>
      <c r="BM303" t="s">
        <v>4565</v>
      </c>
      <c r="BN303" t="s">
        <v>74</v>
      </c>
      <c r="BO303" t="s">
        <v>74</v>
      </c>
      <c r="BP303" t="s">
        <v>74</v>
      </c>
      <c r="BQ303" t="s">
        <v>74</v>
      </c>
      <c r="BR303" t="s">
        <v>107</v>
      </c>
      <c r="BS303" t="s">
        <v>4589</v>
      </c>
      <c r="BT303" t="str">
        <f>HYPERLINK("https%3A%2F%2Fwww.webofscience.com%2Fwos%2Fwoscc%2Ffull-record%2FWOS:000176111600003","View Full Record in Web of Science")</f>
        <v>View Full Record in Web of Science</v>
      </c>
    </row>
    <row r="304" spans="1:72" x14ac:dyDescent="0.15">
      <c r="A304" t="s">
        <v>72</v>
      </c>
      <c r="B304" t="s">
        <v>4590</v>
      </c>
      <c r="C304" t="s">
        <v>74</v>
      </c>
      <c r="D304" t="s">
        <v>74</v>
      </c>
      <c r="E304" t="s">
        <v>74</v>
      </c>
      <c r="F304" t="s">
        <v>4590</v>
      </c>
      <c r="G304" t="s">
        <v>74</v>
      </c>
      <c r="H304" t="s">
        <v>74</v>
      </c>
      <c r="I304" t="s">
        <v>4591</v>
      </c>
      <c r="J304" t="s">
        <v>2137</v>
      </c>
      <c r="K304" t="s">
        <v>74</v>
      </c>
      <c r="L304" t="s">
        <v>74</v>
      </c>
      <c r="M304" t="s">
        <v>77</v>
      </c>
      <c r="N304" t="s">
        <v>78</v>
      </c>
      <c r="O304" t="s">
        <v>4569</v>
      </c>
      <c r="P304">
        <v>1999</v>
      </c>
      <c r="Q304" t="s">
        <v>4592</v>
      </c>
      <c r="R304" t="s">
        <v>74</v>
      </c>
      <c r="S304" t="s">
        <v>74</v>
      </c>
      <c r="T304" t="s">
        <v>4593</v>
      </c>
      <c r="U304" t="s">
        <v>4594</v>
      </c>
      <c r="V304" t="s">
        <v>4595</v>
      </c>
      <c r="W304" t="s">
        <v>4596</v>
      </c>
      <c r="X304" t="s">
        <v>4597</v>
      </c>
      <c r="Y304" t="s">
        <v>300</v>
      </c>
      <c r="Z304" t="s">
        <v>4598</v>
      </c>
      <c r="AA304" t="s">
        <v>4599</v>
      </c>
      <c r="AB304" t="s">
        <v>74</v>
      </c>
      <c r="AC304" t="s">
        <v>74</v>
      </c>
      <c r="AD304" t="s">
        <v>74</v>
      </c>
      <c r="AE304" t="s">
        <v>74</v>
      </c>
      <c r="AF304" t="s">
        <v>74</v>
      </c>
      <c r="AG304">
        <v>52</v>
      </c>
      <c r="AH304">
        <v>19</v>
      </c>
      <c r="AI304">
        <v>20</v>
      </c>
      <c r="AJ304">
        <v>0</v>
      </c>
      <c r="AK304">
        <v>4</v>
      </c>
      <c r="AL304" t="s">
        <v>90</v>
      </c>
      <c r="AM304" t="s">
        <v>91</v>
      </c>
      <c r="AN304" t="s">
        <v>92</v>
      </c>
      <c r="AO304" t="s">
        <v>2150</v>
      </c>
      <c r="AP304" t="s">
        <v>2151</v>
      </c>
      <c r="AQ304" t="s">
        <v>74</v>
      </c>
      <c r="AR304" t="s">
        <v>2137</v>
      </c>
      <c r="AS304" t="s">
        <v>2152</v>
      </c>
      <c r="AT304" t="s">
        <v>4553</v>
      </c>
      <c r="AU304">
        <v>2002</v>
      </c>
      <c r="AV304">
        <v>347</v>
      </c>
      <c r="AW304" t="s">
        <v>3240</v>
      </c>
      <c r="AX304" t="s">
        <v>74</v>
      </c>
      <c r="AY304" t="s">
        <v>74</v>
      </c>
      <c r="AZ304" t="s">
        <v>74</v>
      </c>
      <c r="BA304" t="s">
        <v>74</v>
      </c>
      <c r="BB304">
        <v>25</v>
      </c>
      <c r="BC304">
        <v>41</v>
      </c>
      <c r="BD304" t="s">
        <v>4600</v>
      </c>
      <c r="BE304" t="s">
        <v>4601</v>
      </c>
      <c r="BF304" t="str">
        <f>HYPERLINK("http://dx.doi.org/10.1016/S0040-1951(01)00236-0","http://dx.doi.org/10.1016/S0040-1951(01)00236-0")</f>
        <v>http://dx.doi.org/10.1016/S0040-1951(01)00236-0</v>
      </c>
      <c r="BG304" t="s">
        <v>74</v>
      </c>
      <c r="BH304" t="s">
        <v>74</v>
      </c>
      <c r="BI304">
        <v>17</v>
      </c>
      <c r="BJ304" t="s">
        <v>556</v>
      </c>
      <c r="BK304" t="s">
        <v>103</v>
      </c>
      <c r="BL304" t="s">
        <v>556</v>
      </c>
      <c r="BM304" t="s">
        <v>4565</v>
      </c>
      <c r="BN304" t="s">
        <v>74</v>
      </c>
      <c r="BO304" t="s">
        <v>74</v>
      </c>
      <c r="BP304" t="s">
        <v>74</v>
      </c>
      <c r="BQ304" t="s">
        <v>74</v>
      </c>
      <c r="BR304" t="s">
        <v>107</v>
      </c>
      <c r="BS304" t="s">
        <v>4602</v>
      </c>
      <c r="BT304" t="str">
        <f>HYPERLINK("https%3A%2F%2Fwww.webofscience.com%2Fwos%2Fwoscc%2Ffull-record%2FWOS:000176111600004","View Full Record in Web of Science")</f>
        <v>View Full Record in Web of Science</v>
      </c>
    </row>
    <row r="305" spans="1:72" x14ac:dyDescent="0.15">
      <c r="A305" t="s">
        <v>72</v>
      </c>
      <c r="B305" t="s">
        <v>4603</v>
      </c>
      <c r="C305" t="s">
        <v>74</v>
      </c>
      <c r="D305" t="s">
        <v>74</v>
      </c>
      <c r="E305" t="s">
        <v>74</v>
      </c>
      <c r="F305" t="s">
        <v>4603</v>
      </c>
      <c r="G305" t="s">
        <v>74</v>
      </c>
      <c r="H305" t="s">
        <v>74</v>
      </c>
      <c r="I305" t="s">
        <v>4604</v>
      </c>
      <c r="J305" t="s">
        <v>2137</v>
      </c>
      <c r="K305" t="s">
        <v>74</v>
      </c>
      <c r="L305" t="s">
        <v>74</v>
      </c>
      <c r="M305" t="s">
        <v>77</v>
      </c>
      <c r="N305" t="s">
        <v>78</v>
      </c>
      <c r="O305" t="s">
        <v>4569</v>
      </c>
      <c r="P305">
        <v>1999</v>
      </c>
      <c r="Q305" t="s">
        <v>4570</v>
      </c>
      <c r="R305" t="s">
        <v>74</v>
      </c>
      <c r="S305" t="s">
        <v>74</v>
      </c>
      <c r="T305" t="s">
        <v>4605</v>
      </c>
      <c r="U305" t="s">
        <v>4606</v>
      </c>
      <c r="V305" t="s">
        <v>4607</v>
      </c>
      <c r="W305" t="s">
        <v>4608</v>
      </c>
      <c r="X305" t="s">
        <v>4609</v>
      </c>
      <c r="Y305" t="s">
        <v>4610</v>
      </c>
      <c r="Z305" t="s">
        <v>74</v>
      </c>
      <c r="AA305" t="s">
        <v>74</v>
      </c>
      <c r="AB305" t="s">
        <v>74</v>
      </c>
      <c r="AC305" t="s">
        <v>74</v>
      </c>
      <c r="AD305" t="s">
        <v>74</v>
      </c>
      <c r="AE305" t="s">
        <v>74</v>
      </c>
      <c r="AF305" t="s">
        <v>74</v>
      </c>
      <c r="AG305">
        <v>47</v>
      </c>
      <c r="AH305">
        <v>26</v>
      </c>
      <c r="AI305">
        <v>31</v>
      </c>
      <c r="AJ305">
        <v>0</v>
      </c>
      <c r="AK305">
        <v>10</v>
      </c>
      <c r="AL305" t="s">
        <v>132</v>
      </c>
      <c r="AM305" t="s">
        <v>91</v>
      </c>
      <c r="AN305" t="s">
        <v>133</v>
      </c>
      <c r="AO305" t="s">
        <v>2150</v>
      </c>
      <c r="AP305" t="s">
        <v>74</v>
      </c>
      <c r="AQ305" t="s">
        <v>74</v>
      </c>
      <c r="AR305" t="s">
        <v>2137</v>
      </c>
      <c r="AS305" t="s">
        <v>2152</v>
      </c>
      <c r="AT305" t="s">
        <v>4553</v>
      </c>
      <c r="AU305">
        <v>2002</v>
      </c>
      <c r="AV305">
        <v>347</v>
      </c>
      <c r="AW305" t="s">
        <v>3240</v>
      </c>
      <c r="AX305" t="s">
        <v>74</v>
      </c>
      <c r="AY305" t="s">
        <v>74</v>
      </c>
      <c r="AZ305" t="s">
        <v>74</v>
      </c>
      <c r="BA305" t="s">
        <v>74</v>
      </c>
      <c r="BB305">
        <v>43</v>
      </c>
      <c r="BC305">
        <v>64</v>
      </c>
      <c r="BD305" t="s">
        <v>4611</v>
      </c>
      <c r="BE305" t="s">
        <v>4612</v>
      </c>
      <c r="BF305" t="str">
        <f>HYPERLINK("http://dx.doi.org/10.1016/S0040-1951(01)00237-2","http://dx.doi.org/10.1016/S0040-1951(01)00237-2")</f>
        <v>http://dx.doi.org/10.1016/S0040-1951(01)00237-2</v>
      </c>
      <c r="BG305" t="s">
        <v>74</v>
      </c>
      <c r="BH305" t="s">
        <v>74</v>
      </c>
      <c r="BI305">
        <v>22</v>
      </c>
      <c r="BJ305" t="s">
        <v>556</v>
      </c>
      <c r="BK305" t="s">
        <v>744</v>
      </c>
      <c r="BL305" t="s">
        <v>556</v>
      </c>
      <c r="BM305" t="s">
        <v>4565</v>
      </c>
      <c r="BN305" t="s">
        <v>74</v>
      </c>
      <c r="BO305" t="s">
        <v>74</v>
      </c>
      <c r="BP305" t="s">
        <v>74</v>
      </c>
      <c r="BQ305" t="s">
        <v>74</v>
      </c>
      <c r="BR305" t="s">
        <v>107</v>
      </c>
      <c r="BS305" t="s">
        <v>4613</v>
      </c>
      <c r="BT305" t="str">
        <f>HYPERLINK("https%3A%2F%2Fwww.webofscience.com%2Fwos%2Fwoscc%2Ffull-record%2FWOS:000176111600005","View Full Record in Web of Science")</f>
        <v>View Full Record in Web of Science</v>
      </c>
    </row>
    <row r="306" spans="1:72" x14ac:dyDescent="0.15">
      <c r="A306" t="s">
        <v>72</v>
      </c>
      <c r="B306" t="s">
        <v>4614</v>
      </c>
      <c r="C306" t="s">
        <v>74</v>
      </c>
      <c r="D306" t="s">
        <v>74</v>
      </c>
      <c r="E306" t="s">
        <v>74</v>
      </c>
      <c r="F306" t="s">
        <v>4614</v>
      </c>
      <c r="G306" t="s">
        <v>74</v>
      </c>
      <c r="H306" t="s">
        <v>74</v>
      </c>
      <c r="I306" t="s">
        <v>4615</v>
      </c>
      <c r="J306" t="s">
        <v>2137</v>
      </c>
      <c r="K306" t="s">
        <v>74</v>
      </c>
      <c r="L306" t="s">
        <v>74</v>
      </c>
      <c r="M306" t="s">
        <v>77</v>
      </c>
      <c r="N306" t="s">
        <v>78</v>
      </c>
      <c r="O306" t="s">
        <v>4569</v>
      </c>
      <c r="P306">
        <v>1999</v>
      </c>
      <c r="Q306" t="s">
        <v>4570</v>
      </c>
      <c r="R306" t="s">
        <v>74</v>
      </c>
      <c r="S306" t="s">
        <v>74</v>
      </c>
      <c r="T306" t="s">
        <v>4616</v>
      </c>
      <c r="U306" t="s">
        <v>4617</v>
      </c>
      <c r="V306" t="s">
        <v>4618</v>
      </c>
      <c r="W306" t="s">
        <v>4619</v>
      </c>
      <c r="X306" t="s">
        <v>4620</v>
      </c>
      <c r="Y306" t="s">
        <v>4621</v>
      </c>
      <c r="Z306" t="s">
        <v>74</v>
      </c>
      <c r="AA306" t="s">
        <v>4622</v>
      </c>
      <c r="AB306" t="s">
        <v>74</v>
      </c>
      <c r="AC306" t="s">
        <v>74</v>
      </c>
      <c r="AD306" t="s">
        <v>74</v>
      </c>
      <c r="AE306" t="s">
        <v>74</v>
      </c>
      <c r="AF306" t="s">
        <v>74</v>
      </c>
      <c r="AG306">
        <v>48</v>
      </c>
      <c r="AH306">
        <v>75</v>
      </c>
      <c r="AI306">
        <v>82</v>
      </c>
      <c r="AJ306">
        <v>0</v>
      </c>
      <c r="AK306">
        <v>7</v>
      </c>
      <c r="AL306" t="s">
        <v>132</v>
      </c>
      <c r="AM306" t="s">
        <v>91</v>
      </c>
      <c r="AN306" t="s">
        <v>133</v>
      </c>
      <c r="AO306" t="s">
        <v>2150</v>
      </c>
      <c r="AP306" t="s">
        <v>74</v>
      </c>
      <c r="AQ306" t="s">
        <v>74</v>
      </c>
      <c r="AR306" t="s">
        <v>2137</v>
      </c>
      <c r="AS306" t="s">
        <v>2152</v>
      </c>
      <c r="AT306" t="s">
        <v>4553</v>
      </c>
      <c r="AU306">
        <v>2002</v>
      </c>
      <c r="AV306">
        <v>347</v>
      </c>
      <c r="AW306" t="s">
        <v>3240</v>
      </c>
      <c r="AX306" t="s">
        <v>74</v>
      </c>
      <c r="AY306" t="s">
        <v>74</v>
      </c>
      <c r="AZ306" t="s">
        <v>74</v>
      </c>
      <c r="BA306" t="s">
        <v>74</v>
      </c>
      <c r="BB306">
        <v>65</v>
      </c>
      <c r="BC306">
        <v>86</v>
      </c>
      <c r="BD306" t="s">
        <v>4623</v>
      </c>
      <c r="BE306" t="s">
        <v>4624</v>
      </c>
      <c r="BF306" t="str">
        <f>HYPERLINK("http://dx.doi.org/10.1016/S0040-1951(01)00238-4","http://dx.doi.org/10.1016/S0040-1951(01)00238-4")</f>
        <v>http://dx.doi.org/10.1016/S0040-1951(01)00238-4</v>
      </c>
      <c r="BG306" t="s">
        <v>74</v>
      </c>
      <c r="BH306" t="s">
        <v>74</v>
      </c>
      <c r="BI306">
        <v>22</v>
      </c>
      <c r="BJ306" t="s">
        <v>556</v>
      </c>
      <c r="BK306" t="s">
        <v>744</v>
      </c>
      <c r="BL306" t="s">
        <v>556</v>
      </c>
      <c r="BM306" t="s">
        <v>4565</v>
      </c>
      <c r="BN306" t="s">
        <v>74</v>
      </c>
      <c r="BO306" t="s">
        <v>74</v>
      </c>
      <c r="BP306" t="s">
        <v>74</v>
      </c>
      <c r="BQ306" t="s">
        <v>74</v>
      </c>
      <c r="BR306" t="s">
        <v>107</v>
      </c>
      <c r="BS306" t="s">
        <v>4625</v>
      </c>
      <c r="BT306" t="str">
        <f>HYPERLINK("https%3A%2F%2Fwww.webofscience.com%2Fwos%2Fwoscc%2Ffull-record%2FWOS:000176111600006","View Full Record in Web of Science")</f>
        <v>View Full Record in Web of Science</v>
      </c>
    </row>
    <row r="307" spans="1:72" x14ac:dyDescent="0.15">
      <c r="A307" t="s">
        <v>72</v>
      </c>
      <c r="B307" t="s">
        <v>4626</v>
      </c>
      <c r="C307" t="s">
        <v>74</v>
      </c>
      <c r="D307" t="s">
        <v>74</v>
      </c>
      <c r="E307" t="s">
        <v>74</v>
      </c>
      <c r="F307" t="s">
        <v>4626</v>
      </c>
      <c r="G307" t="s">
        <v>74</v>
      </c>
      <c r="H307" t="s">
        <v>74</v>
      </c>
      <c r="I307" t="s">
        <v>4627</v>
      </c>
      <c r="J307" t="s">
        <v>2137</v>
      </c>
      <c r="K307" t="s">
        <v>74</v>
      </c>
      <c r="L307" t="s">
        <v>74</v>
      </c>
      <c r="M307" t="s">
        <v>77</v>
      </c>
      <c r="N307" t="s">
        <v>78</v>
      </c>
      <c r="O307" t="s">
        <v>4569</v>
      </c>
      <c r="P307">
        <v>1999</v>
      </c>
      <c r="Q307" t="s">
        <v>4570</v>
      </c>
      <c r="R307" t="s">
        <v>74</v>
      </c>
      <c r="S307" t="s">
        <v>74</v>
      </c>
      <c r="T307" t="s">
        <v>4628</v>
      </c>
      <c r="U307" t="s">
        <v>4629</v>
      </c>
      <c r="V307" t="s">
        <v>4630</v>
      </c>
      <c r="W307" t="s">
        <v>4631</v>
      </c>
      <c r="X307" t="s">
        <v>4632</v>
      </c>
      <c r="Y307" t="s">
        <v>4633</v>
      </c>
      <c r="Z307" t="s">
        <v>74</v>
      </c>
      <c r="AA307" t="s">
        <v>4634</v>
      </c>
      <c r="AB307" t="s">
        <v>4635</v>
      </c>
      <c r="AC307" t="s">
        <v>74</v>
      </c>
      <c r="AD307" t="s">
        <v>74</v>
      </c>
      <c r="AE307" t="s">
        <v>74</v>
      </c>
      <c r="AF307" t="s">
        <v>74</v>
      </c>
      <c r="AG307">
        <v>56</v>
      </c>
      <c r="AH307">
        <v>35</v>
      </c>
      <c r="AI307">
        <v>35</v>
      </c>
      <c r="AJ307">
        <v>0</v>
      </c>
      <c r="AK307">
        <v>10</v>
      </c>
      <c r="AL307" t="s">
        <v>132</v>
      </c>
      <c r="AM307" t="s">
        <v>91</v>
      </c>
      <c r="AN307" t="s">
        <v>133</v>
      </c>
      <c r="AO307" t="s">
        <v>2150</v>
      </c>
      <c r="AP307" t="s">
        <v>74</v>
      </c>
      <c r="AQ307" t="s">
        <v>74</v>
      </c>
      <c r="AR307" t="s">
        <v>2137</v>
      </c>
      <c r="AS307" t="s">
        <v>2152</v>
      </c>
      <c r="AT307" t="s">
        <v>4553</v>
      </c>
      <c r="AU307">
        <v>2002</v>
      </c>
      <c r="AV307">
        <v>347</v>
      </c>
      <c r="AW307" t="s">
        <v>3240</v>
      </c>
      <c r="AX307" t="s">
        <v>74</v>
      </c>
      <c r="AY307" t="s">
        <v>74</v>
      </c>
      <c r="AZ307" t="s">
        <v>74</v>
      </c>
      <c r="BA307" t="s">
        <v>74</v>
      </c>
      <c r="BB307">
        <v>87</v>
      </c>
      <c r="BC307">
        <v>108</v>
      </c>
      <c r="BD307" t="s">
        <v>4636</v>
      </c>
      <c r="BE307" t="s">
        <v>4637</v>
      </c>
      <c r="BF307" t="str">
        <f>HYPERLINK("http://dx.doi.org/10.1016/S0040-1951(01)00239-6","http://dx.doi.org/10.1016/S0040-1951(01)00239-6")</f>
        <v>http://dx.doi.org/10.1016/S0040-1951(01)00239-6</v>
      </c>
      <c r="BG307" t="s">
        <v>74</v>
      </c>
      <c r="BH307" t="s">
        <v>74</v>
      </c>
      <c r="BI307">
        <v>22</v>
      </c>
      <c r="BJ307" t="s">
        <v>556</v>
      </c>
      <c r="BK307" t="s">
        <v>744</v>
      </c>
      <c r="BL307" t="s">
        <v>556</v>
      </c>
      <c r="BM307" t="s">
        <v>4565</v>
      </c>
      <c r="BN307" t="s">
        <v>74</v>
      </c>
      <c r="BO307" t="s">
        <v>74</v>
      </c>
      <c r="BP307" t="s">
        <v>74</v>
      </c>
      <c r="BQ307" t="s">
        <v>74</v>
      </c>
      <c r="BR307" t="s">
        <v>107</v>
      </c>
      <c r="BS307" t="s">
        <v>4638</v>
      </c>
      <c r="BT307" t="str">
        <f>HYPERLINK("https%3A%2F%2Fwww.webofscience.com%2Fwos%2Fwoscc%2Ffull-record%2FWOS:000176111600007","View Full Record in Web of Science")</f>
        <v>View Full Record in Web of Science</v>
      </c>
    </row>
    <row r="308" spans="1:72" x14ac:dyDescent="0.15">
      <c r="A308" t="s">
        <v>72</v>
      </c>
      <c r="B308" t="s">
        <v>4639</v>
      </c>
      <c r="C308" t="s">
        <v>74</v>
      </c>
      <c r="D308" t="s">
        <v>74</v>
      </c>
      <c r="E308" t="s">
        <v>74</v>
      </c>
      <c r="F308" t="s">
        <v>4639</v>
      </c>
      <c r="G308" t="s">
        <v>74</v>
      </c>
      <c r="H308" t="s">
        <v>74</v>
      </c>
      <c r="I308" t="s">
        <v>4640</v>
      </c>
      <c r="J308" t="s">
        <v>2137</v>
      </c>
      <c r="K308" t="s">
        <v>74</v>
      </c>
      <c r="L308" t="s">
        <v>74</v>
      </c>
      <c r="M308" t="s">
        <v>77</v>
      </c>
      <c r="N308" t="s">
        <v>78</v>
      </c>
      <c r="O308" t="s">
        <v>4569</v>
      </c>
      <c r="P308">
        <v>1999</v>
      </c>
      <c r="Q308" t="s">
        <v>4570</v>
      </c>
      <c r="R308" t="s">
        <v>74</v>
      </c>
      <c r="S308" t="s">
        <v>74</v>
      </c>
      <c r="T308" t="s">
        <v>4641</v>
      </c>
      <c r="U308" t="s">
        <v>4642</v>
      </c>
      <c r="V308" t="s">
        <v>4643</v>
      </c>
      <c r="W308" t="s">
        <v>4644</v>
      </c>
      <c r="X308" t="s">
        <v>4645</v>
      </c>
      <c r="Y308" t="s">
        <v>4576</v>
      </c>
      <c r="Z308" t="s">
        <v>74</v>
      </c>
      <c r="AA308" t="s">
        <v>74</v>
      </c>
      <c r="AB308" t="s">
        <v>4577</v>
      </c>
      <c r="AC308" t="s">
        <v>74</v>
      </c>
      <c r="AD308" t="s">
        <v>74</v>
      </c>
      <c r="AE308" t="s">
        <v>74</v>
      </c>
      <c r="AF308" t="s">
        <v>74</v>
      </c>
      <c r="AG308">
        <v>44</v>
      </c>
      <c r="AH308">
        <v>38</v>
      </c>
      <c r="AI308">
        <v>40</v>
      </c>
      <c r="AJ308">
        <v>0</v>
      </c>
      <c r="AK308">
        <v>7</v>
      </c>
      <c r="AL308" t="s">
        <v>132</v>
      </c>
      <c r="AM308" t="s">
        <v>91</v>
      </c>
      <c r="AN308" t="s">
        <v>133</v>
      </c>
      <c r="AO308" t="s">
        <v>2150</v>
      </c>
      <c r="AP308" t="s">
        <v>74</v>
      </c>
      <c r="AQ308" t="s">
        <v>74</v>
      </c>
      <c r="AR308" t="s">
        <v>2137</v>
      </c>
      <c r="AS308" t="s">
        <v>2152</v>
      </c>
      <c r="AT308" t="s">
        <v>4553</v>
      </c>
      <c r="AU308">
        <v>2002</v>
      </c>
      <c r="AV308">
        <v>347</v>
      </c>
      <c r="AW308" t="s">
        <v>3240</v>
      </c>
      <c r="AX308" t="s">
        <v>74</v>
      </c>
      <c r="AY308" t="s">
        <v>74</v>
      </c>
      <c r="AZ308" t="s">
        <v>74</v>
      </c>
      <c r="BA308" t="s">
        <v>74</v>
      </c>
      <c r="BB308">
        <v>109</v>
      </c>
      <c r="BC308">
        <v>120</v>
      </c>
      <c r="BD308" t="s">
        <v>4646</v>
      </c>
      <c r="BE308" t="s">
        <v>4647</v>
      </c>
      <c r="BF308" t="str">
        <f>HYPERLINK("http://dx.doi.org/10.1016/S0040-1951(01)00240-2","http://dx.doi.org/10.1016/S0040-1951(01)00240-2")</f>
        <v>http://dx.doi.org/10.1016/S0040-1951(01)00240-2</v>
      </c>
      <c r="BG308" t="s">
        <v>74</v>
      </c>
      <c r="BH308" t="s">
        <v>74</v>
      </c>
      <c r="BI308">
        <v>12</v>
      </c>
      <c r="BJ308" t="s">
        <v>556</v>
      </c>
      <c r="BK308" t="s">
        <v>744</v>
      </c>
      <c r="BL308" t="s">
        <v>556</v>
      </c>
      <c r="BM308" t="s">
        <v>4565</v>
      </c>
      <c r="BN308" t="s">
        <v>74</v>
      </c>
      <c r="BO308" t="s">
        <v>74</v>
      </c>
      <c r="BP308" t="s">
        <v>74</v>
      </c>
      <c r="BQ308" t="s">
        <v>74</v>
      </c>
      <c r="BR308" t="s">
        <v>107</v>
      </c>
      <c r="BS308" t="s">
        <v>4648</v>
      </c>
      <c r="BT308" t="str">
        <f>HYPERLINK("https%3A%2F%2Fwww.webofscience.com%2Fwos%2Fwoscc%2Ffull-record%2FWOS:000176111600008","View Full Record in Web of Science")</f>
        <v>View Full Record in Web of Science</v>
      </c>
    </row>
    <row r="309" spans="1:72" x14ac:dyDescent="0.15">
      <c r="A309" t="s">
        <v>72</v>
      </c>
      <c r="B309" t="s">
        <v>4649</v>
      </c>
      <c r="C309" t="s">
        <v>74</v>
      </c>
      <c r="D309" t="s">
        <v>74</v>
      </c>
      <c r="E309" t="s">
        <v>74</v>
      </c>
      <c r="F309" t="s">
        <v>4649</v>
      </c>
      <c r="G309" t="s">
        <v>74</v>
      </c>
      <c r="H309" t="s">
        <v>74</v>
      </c>
      <c r="I309" t="s">
        <v>4650</v>
      </c>
      <c r="J309" t="s">
        <v>2137</v>
      </c>
      <c r="K309" t="s">
        <v>74</v>
      </c>
      <c r="L309" t="s">
        <v>74</v>
      </c>
      <c r="M309" t="s">
        <v>77</v>
      </c>
      <c r="N309" t="s">
        <v>78</v>
      </c>
      <c r="O309" t="s">
        <v>4569</v>
      </c>
      <c r="P309">
        <v>1999</v>
      </c>
      <c r="Q309" t="s">
        <v>4592</v>
      </c>
      <c r="R309" t="s">
        <v>74</v>
      </c>
      <c r="S309" t="s">
        <v>74</v>
      </c>
      <c r="T309" t="s">
        <v>4651</v>
      </c>
      <c r="U309" t="s">
        <v>4652</v>
      </c>
      <c r="V309" t="s">
        <v>4653</v>
      </c>
      <c r="W309" t="s">
        <v>4654</v>
      </c>
      <c r="X309" t="s">
        <v>4655</v>
      </c>
      <c r="Y309" t="s">
        <v>4656</v>
      </c>
      <c r="Z309" t="s">
        <v>4657</v>
      </c>
      <c r="AA309" t="s">
        <v>74</v>
      </c>
      <c r="AB309" t="s">
        <v>2028</v>
      </c>
      <c r="AC309" t="s">
        <v>74</v>
      </c>
      <c r="AD309" t="s">
        <v>74</v>
      </c>
      <c r="AE309" t="s">
        <v>74</v>
      </c>
      <c r="AF309" t="s">
        <v>74</v>
      </c>
      <c r="AG309">
        <v>55</v>
      </c>
      <c r="AH309">
        <v>28</v>
      </c>
      <c r="AI309">
        <v>29</v>
      </c>
      <c r="AJ309">
        <v>0</v>
      </c>
      <c r="AK309">
        <v>6</v>
      </c>
      <c r="AL309" t="s">
        <v>90</v>
      </c>
      <c r="AM309" t="s">
        <v>91</v>
      </c>
      <c r="AN309" t="s">
        <v>92</v>
      </c>
      <c r="AO309" t="s">
        <v>2150</v>
      </c>
      <c r="AP309" t="s">
        <v>2151</v>
      </c>
      <c r="AQ309" t="s">
        <v>74</v>
      </c>
      <c r="AR309" t="s">
        <v>2137</v>
      </c>
      <c r="AS309" t="s">
        <v>2152</v>
      </c>
      <c r="AT309" t="s">
        <v>4553</v>
      </c>
      <c r="AU309">
        <v>2002</v>
      </c>
      <c r="AV309">
        <v>347</v>
      </c>
      <c r="AW309" t="s">
        <v>3240</v>
      </c>
      <c r="AX309" t="s">
        <v>74</v>
      </c>
      <c r="AY309" t="s">
        <v>74</v>
      </c>
      <c r="AZ309" t="s">
        <v>74</v>
      </c>
      <c r="BA309" t="s">
        <v>74</v>
      </c>
      <c r="BB309">
        <v>121</v>
      </c>
      <c r="BC309">
        <v>137</v>
      </c>
      <c r="BD309" t="s">
        <v>4658</v>
      </c>
      <c r="BE309" t="s">
        <v>4659</v>
      </c>
      <c r="BF309" t="str">
        <f>HYPERLINK("http://dx.doi.org/10.1016/S0040-1951(01)00241-4","http://dx.doi.org/10.1016/S0040-1951(01)00241-4")</f>
        <v>http://dx.doi.org/10.1016/S0040-1951(01)00241-4</v>
      </c>
      <c r="BG309" t="s">
        <v>74</v>
      </c>
      <c r="BH309" t="s">
        <v>74</v>
      </c>
      <c r="BI309">
        <v>17</v>
      </c>
      <c r="BJ309" t="s">
        <v>556</v>
      </c>
      <c r="BK309" t="s">
        <v>103</v>
      </c>
      <c r="BL309" t="s">
        <v>556</v>
      </c>
      <c r="BM309" t="s">
        <v>4565</v>
      </c>
      <c r="BN309" t="s">
        <v>74</v>
      </c>
      <c r="BO309" t="s">
        <v>74</v>
      </c>
      <c r="BP309" t="s">
        <v>74</v>
      </c>
      <c r="BQ309" t="s">
        <v>74</v>
      </c>
      <c r="BR309" t="s">
        <v>107</v>
      </c>
      <c r="BS309" t="s">
        <v>4660</v>
      </c>
      <c r="BT309" t="str">
        <f>HYPERLINK("https%3A%2F%2Fwww.webofscience.com%2Fwos%2Fwoscc%2Ffull-record%2FWOS:000176111600009","View Full Record in Web of Science")</f>
        <v>View Full Record in Web of Science</v>
      </c>
    </row>
    <row r="310" spans="1:72" x14ac:dyDescent="0.15">
      <c r="A310" t="s">
        <v>72</v>
      </c>
      <c r="B310" t="s">
        <v>4661</v>
      </c>
      <c r="C310" t="s">
        <v>74</v>
      </c>
      <c r="D310" t="s">
        <v>74</v>
      </c>
      <c r="E310" t="s">
        <v>74</v>
      </c>
      <c r="F310" t="s">
        <v>4661</v>
      </c>
      <c r="G310" t="s">
        <v>74</v>
      </c>
      <c r="H310" t="s">
        <v>74</v>
      </c>
      <c r="I310" t="s">
        <v>4662</v>
      </c>
      <c r="J310" t="s">
        <v>2137</v>
      </c>
      <c r="K310" t="s">
        <v>74</v>
      </c>
      <c r="L310" t="s">
        <v>74</v>
      </c>
      <c r="M310" t="s">
        <v>77</v>
      </c>
      <c r="N310" t="s">
        <v>78</v>
      </c>
      <c r="O310" t="s">
        <v>4569</v>
      </c>
      <c r="P310">
        <v>1999</v>
      </c>
      <c r="Q310" t="s">
        <v>4592</v>
      </c>
      <c r="R310" t="s">
        <v>74</v>
      </c>
      <c r="S310" t="s">
        <v>74</v>
      </c>
      <c r="T310" t="s">
        <v>4663</v>
      </c>
      <c r="U310" t="s">
        <v>4664</v>
      </c>
      <c r="V310" t="s">
        <v>4665</v>
      </c>
      <c r="W310" t="s">
        <v>4666</v>
      </c>
      <c r="X310" t="s">
        <v>323</v>
      </c>
      <c r="Y310" t="s">
        <v>4667</v>
      </c>
      <c r="Z310" t="s">
        <v>4668</v>
      </c>
      <c r="AA310" t="s">
        <v>74</v>
      </c>
      <c r="AB310" t="s">
        <v>2028</v>
      </c>
      <c r="AC310" t="s">
        <v>74</v>
      </c>
      <c r="AD310" t="s">
        <v>74</v>
      </c>
      <c r="AE310" t="s">
        <v>74</v>
      </c>
      <c r="AF310" t="s">
        <v>74</v>
      </c>
      <c r="AG310">
        <v>72</v>
      </c>
      <c r="AH310">
        <v>26</v>
      </c>
      <c r="AI310">
        <v>32</v>
      </c>
      <c r="AJ310">
        <v>0</v>
      </c>
      <c r="AK310">
        <v>6</v>
      </c>
      <c r="AL310" t="s">
        <v>90</v>
      </c>
      <c r="AM310" t="s">
        <v>91</v>
      </c>
      <c r="AN310" t="s">
        <v>92</v>
      </c>
      <c r="AO310" t="s">
        <v>2150</v>
      </c>
      <c r="AP310" t="s">
        <v>2151</v>
      </c>
      <c r="AQ310" t="s">
        <v>74</v>
      </c>
      <c r="AR310" t="s">
        <v>2137</v>
      </c>
      <c r="AS310" t="s">
        <v>2152</v>
      </c>
      <c r="AT310" t="s">
        <v>4553</v>
      </c>
      <c r="AU310">
        <v>2002</v>
      </c>
      <c r="AV310">
        <v>347</v>
      </c>
      <c r="AW310" t="s">
        <v>3240</v>
      </c>
      <c r="AX310" t="s">
        <v>74</v>
      </c>
      <c r="AY310" t="s">
        <v>74</v>
      </c>
      <c r="AZ310" t="s">
        <v>74</v>
      </c>
      <c r="BA310" t="s">
        <v>74</v>
      </c>
      <c r="BB310">
        <v>139</v>
      </c>
      <c r="BC310">
        <v>165</v>
      </c>
      <c r="BD310" t="s">
        <v>4669</v>
      </c>
      <c r="BE310" t="s">
        <v>4670</v>
      </c>
      <c r="BF310" t="str">
        <f>HYPERLINK("http://dx.doi.org/10.1016/S0040-1951(01)00242-6","http://dx.doi.org/10.1016/S0040-1951(01)00242-6")</f>
        <v>http://dx.doi.org/10.1016/S0040-1951(01)00242-6</v>
      </c>
      <c r="BG310" t="s">
        <v>74</v>
      </c>
      <c r="BH310" t="s">
        <v>74</v>
      </c>
      <c r="BI310">
        <v>27</v>
      </c>
      <c r="BJ310" t="s">
        <v>556</v>
      </c>
      <c r="BK310" t="s">
        <v>103</v>
      </c>
      <c r="BL310" t="s">
        <v>556</v>
      </c>
      <c r="BM310" t="s">
        <v>4565</v>
      </c>
      <c r="BN310" t="s">
        <v>74</v>
      </c>
      <c r="BO310" t="s">
        <v>74</v>
      </c>
      <c r="BP310" t="s">
        <v>74</v>
      </c>
      <c r="BQ310" t="s">
        <v>74</v>
      </c>
      <c r="BR310" t="s">
        <v>107</v>
      </c>
      <c r="BS310" t="s">
        <v>4671</v>
      </c>
      <c r="BT310" t="str">
        <f>HYPERLINK("https%3A%2F%2Fwww.webofscience.com%2Fwos%2Fwoscc%2Ffull-record%2FWOS:000176111600010","View Full Record in Web of Science")</f>
        <v>View Full Record in Web of Science</v>
      </c>
    </row>
    <row r="311" spans="1:72" x14ac:dyDescent="0.15">
      <c r="A311" t="s">
        <v>72</v>
      </c>
      <c r="B311" t="s">
        <v>4672</v>
      </c>
      <c r="C311" t="s">
        <v>74</v>
      </c>
      <c r="D311" t="s">
        <v>74</v>
      </c>
      <c r="E311" t="s">
        <v>74</v>
      </c>
      <c r="F311" t="s">
        <v>4672</v>
      </c>
      <c r="G311" t="s">
        <v>74</v>
      </c>
      <c r="H311" t="s">
        <v>74</v>
      </c>
      <c r="I311" t="s">
        <v>4673</v>
      </c>
      <c r="J311" t="s">
        <v>2137</v>
      </c>
      <c r="K311" t="s">
        <v>74</v>
      </c>
      <c r="L311" t="s">
        <v>74</v>
      </c>
      <c r="M311" t="s">
        <v>77</v>
      </c>
      <c r="N311" t="s">
        <v>78</v>
      </c>
      <c r="O311" t="s">
        <v>4569</v>
      </c>
      <c r="P311">
        <v>1999</v>
      </c>
      <c r="Q311" t="s">
        <v>4570</v>
      </c>
      <c r="R311" t="s">
        <v>74</v>
      </c>
      <c r="S311" t="s">
        <v>74</v>
      </c>
      <c r="T311" t="s">
        <v>4674</v>
      </c>
      <c r="U311" t="s">
        <v>74</v>
      </c>
      <c r="V311" t="s">
        <v>4675</v>
      </c>
      <c r="W311" t="s">
        <v>4676</v>
      </c>
      <c r="X311" t="s">
        <v>4677</v>
      </c>
      <c r="Y311" t="s">
        <v>4678</v>
      </c>
      <c r="Z311" t="s">
        <v>74</v>
      </c>
      <c r="AA311" t="s">
        <v>4679</v>
      </c>
      <c r="AB311" t="s">
        <v>4680</v>
      </c>
      <c r="AC311" t="s">
        <v>74</v>
      </c>
      <c r="AD311" t="s">
        <v>74</v>
      </c>
      <c r="AE311" t="s">
        <v>74</v>
      </c>
      <c r="AF311" t="s">
        <v>74</v>
      </c>
      <c r="AG311">
        <v>14</v>
      </c>
      <c r="AH311">
        <v>9</v>
      </c>
      <c r="AI311">
        <v>10</v>
      </c>
      <c r="AJ311">
        <v>0</v>
      </c>
      <c r="AK311">
        <v>2</v>
      </c>
      <c r="AL311" t="s">
        <v>132</v>
      </c>
      <c r="AM311" t="s">
        <v>91</v>
      </c>
      <c r="AN311" t="s">
        <v>133</v>
      </c>
      <c r="AO311" t="s">
        <v>2150</v>
      </c>
      <c r="AP311" t="s">
        <v>74</v>
      </c>
      <c r="AQ311" t="s">
        <v>74</v>
      </c>
      <c r="AR311" t="s">
        <v>2137</v>
      </c>
      <c r="AS311" t="s">
        <v>2152</v>
      </c>
      <c r="AT311" t="s">
        <v>4553</v>
      </c>
      <c r="AU311">
        <v>2002</v>
      </c>
      <c r="AV311">
        <v>347</v>
      </c>
      <c r="AW311" t="s">
        <v>3240</v>
      </c>
      <c r="AX311" t="s">
        <v>74</v>
      </c>
      <c r="AY311" t="s">
        <v>74</v>
      </c>
      <c r="AZ311" t="s">
        <v>74</v>
      </c>
      <c r="BA311" t="s">
        <v>74</v>
      </c>
      <c r="BB311">
        <v>179</v>
      </c>
      <c r="BC311">
        <v>187</v>
      </c>
      <c r="BD311" t="s">
        <v>4681</v>
      </c>
      <c r="BE311" t="s">
        <v>4682</v>
      </c>
      <c r="BF311" t="str">
        <f>HYPERLINK("http://dx.doi.org/10.1016/S0040-1951(01)00244-X","http://dx.doi.org/10.1016/S0040-1951(01)00244-X")</f>
        <v>http://dx.doi.org/10.1016/S0040-1951(01)00244-X</v>
      </c>
      <c r="BG311" t="s">
        <v>74</v>
      </c>
      <c r="BH311" t="s">
        <v>74</v>
      </c>
      <c r="BI311">
        <v>9</v>
      </c>
      <c r="BJ311" t="s">
        <v>556</v>
      </c>
      <c r="BK311" t="s">
        <v>744</v>
      </c>
      <c r="BL311" t="s">
        <v>556</v>
      </c>
      <c r="BM311" t="s">
        <v>4565</v>
      </c>
      <c r="BN311" t="s">
        <v>74</v>
      </c>
      <c r="BO311" t="s">
        <v>74</v>
      </c>
      <c r="BP311" t="s">
        <v>74</v>
      </c>
      <c r="BQ311" t="s">
        <v>74</v>
      </c>
      <c r="BR311" t="s">
        <v>107</v>
      </c>
      <c r="BS311" t="s">
        <v>4683</v>
      </c>
      <c r="BT311" t="str">
        <f>HYPERLINK("https%3A%2F%2Fwww.webofscience.com%2Fwos%2Fwoscc%2Ffull-record%2FWOS:000176111600012","View Full Record in Web of Science")</f>
        <v>View Full Record in Web of Science</v>
      </c>
    </row>
    <row r="312" spans="1:72" x14ac:dyDescent="0.15">
      <c r="A312" t="s">
        <v>72</v>
      </c>
      <c r="B312" t="s">
        <v>4684</v>
      </c>
      <c r="C312" t="s">
        <v>74</v>
      </c>
      <c r="D312" t="s">
        <v>74</v>
      </c>
      <c r="E312" t="s">
        <v>74</v>
      </c>
      <c r="F312" t="s">
        <v>4684</v>
      </c>
      <c r="G312" t="s">
        <v>74</v>
      </c>
      <c r="H312" t="s">
        <v>74</v>
      </c>
      <c r="I312" t="s">
        <v>4685</v>
      </c>
      <c r="J312" t="s">
        <v>3208</v>
      </c>
      <c r="K312" t="s">
        <v>74</v>
      </c>
      <c r="L312" t="s">
        <v>74</v>
      </c>
      <c r="M312" t="s">
        <v>77</v>
      </c>
      <c r="N312" t="s">
        <v>947</v>
      </c>
      <c r="O312" t="s">
        <v>74</v>
      </c>
      <c r="P312" t="s">
        <v>74</v>
      </c>
      <c r="Q312" t="s">
        <v>74</v>
      </c>
      <c r="R312" t="s">
        <v>74</v>
      </c>
      <c r="S312" t="s">
        <v>74</v>
      </c>
      <c r="T312" t="s">
        <v>74</v>
      </c>
      <c r="U312" t="s">
        <v>4686</v>
      </c>
      <c r="V312" t="s">
        <v>4687</v>
      </c>
      <c r="W312" t="s">
        <v>4688</v>
      </c>
      <c r="X312" t="s">
        <v>4689</v>
      </c>
      <c r="Y312" t="s">
        <v>4690</v>
      </c>
      <c r="Z312" t="s">
        <v>74</v>
      </c>
      <c r="AA312" t="s">
        <v>4691</v>
      </c>
      <c r="AB312" t="s">
        <v>4692</v>
      </c>
      <c r="AC312" t="s">
        <v>74</v>
      </c>
      <c r="AD312" t="s">
        <v>74</v>
      </c>
      <c r="AE312" t="s">
        <v>74</v>
      </c>
      <c r="AF312" t="s">
        <v>74</v>
      </c>
      <c r="AG312">
        <v>97</v>
      </c>
      <c r="AH312">
        <v>6990</v>
      </c>
      <c r="AI312">
        <v>8565</v>
      </c>
      <c r="AJ312">
        <v>223</v>
      </c>
      <c r="AK312">
        <v>8648</v>
      </c>
      <c r="AL312" t="s">
        <v>3214</v>
      </c>
      <c r="AM312" t="s">
        <v>1127</v>
      </c>
      <c r="AN312" t="s">
        <v>3215</v>
      </c>
      <c r="AO312" t="s">
        <v>3216</v>
      </c>
      <c r="AP312" t="s">
        <v>74</v>
      </c>
      <c r="AQ312" t="s">
        <v>74</v>
      </c>
      <c r="AR312" t="s">
        <v>3208</v>
      </c>
      <c r="AS312" t="s">
        <v>3218</v>
      </c>
      <c r="AT312" t="s">
        <v>4693</v>
      </c>
      <c r="AU312">
        <v>2002</v>
      </c>
      <c r="AV312">
        <v>416</v>
      </c>
      <c r="AW312">
        <v>6879</v>
      </c>
      <c r="AX312" t="s">
        <v>74</v>
      </c>
      <c r="AY312" t="s">
        <v>74</v>
      </c>
      <c r="AZ312" t="s">
        <v>74</v>
      </c>
      <c r="BA312" t="s">
        <v>74</v>
      </c>
      <c r="BB312">
        <v>389</v>
      </c>
      <c r="BC312">
        <v>395</v>
      </c>
      <c r="BD312" t="s">
        <v>74</v>
      </c>
      <c r="BE312" t="s">
        <v>4694</v>
      </c>
      <c r="BF312" t="str">
        <f>HYPERLINK("http://dx.doi.org/10.1038/416389a","http://dx.doi.org/10.1038/416389a")</f>
        <v>http://dx.doi.org/10.1038/416389a</v>
      </c>
      <c r="BG312" t="s">
        <v>74</v>
      </c>
      <c r="BH312" t="s">
        <v>74</v>
      </c>
      <c r="BI312">
        <v>7</v>
      </c>
      <c r="BJ312" t="s">
        <v>662</v>
      </c>
      <c r="BK312" t="s">
        <v>170</v>
      </c>
      <c r="BL312" t="s">
        <v>663</v>
      </c>
      <c r="BM312" t="s">
        <v>4695</v>
      </c>
      <c r="BN312">
        <v>11919621</v>
      </c>
      <c r="BO312" t="s">
        <v>74</v>
      </c>
      <c r="BP312" t="s">
        <v>74</v>
      </c>
      <c r="BQ312" t="s">
        <v>74</v>
      </c>
      <c r="BR312" t="s">
        <v>107</v>
      </c>
      <c r="BS312" t="s">
        <v>4696</v>
      </c>
      <c r="BT312" t="str">
        <f>HYPERLINK("https%3A%2F%2Fwww.webofscience.com%2Fwos%2Fwoscc%2Ffull-record%2FWOS:000174607800036","View Full Record in Web of Science")</f>
        <v>View Full Record in Web of Science</v>
      </c>
    </row>
    <row r="313" spans="1:72" x14ac:dyDescent="0.15">
      <c r="A313" t="s">
        <v>72</v>
      </c>
      <c r="B313" t="s">
        <v>4697</v>
      </c>
      <c r="C313" t="s">
        <v>74</v>
      </c>
      <c r="D313" t="s">
        <v>74</v>
      </c>
      <c r="E313" t="s">
        <v>74</v>
      </c>
      <c r="F313" t="s">
        <v>4697</v>
      </c>
      <c r="G313" t="s">
        <v>74</v>
      </c>
      <c r="H313" t="s">
        <v>74</v>
      </c>
      <c r="I313" t="s">
        <v>4698</v>
      </c>
      <c r="J313" t="s">
        <v>2126</v>
      </c>
      <c r="K313" t="s">
        <v>74</v>
      </c>
      <c r="L313" t="s">
        <v>74</v>
      </c>
      <c r="M313" t="s">
        <v>77</v>
      </c>
      <c r="N313" t="s">
        <v>1790</v>
      </c>
      <c r="O313" t="s">
        <v>74</v>
      </c>
      <c r="P313" t="s">
        <v>74</v>
      </c>
      <c r="Q313" t="s">
        <v>74</v>
      </c>
      <c r="R313" t="s">
        <v>74</v>
      </c>
      <c r="S313" t="s">
        <v>74</v>
      </c>
      <c r="T313" t="s">
        <v>74</v>
      </c>
      <c r="U313" t="s">
        <v>74</v>
      </c>
      <c r="V313" t="s">
        <v>74</v>
      </c>
      <c r="W313" t="s">
        <v>74</v>
      </c>
      <c r="X313" t="s">
        <v>74</v>
      </c>
      <c r="Y313" t="s">
        <v>74</v>
      </c>
      <c r="Z313" t="s">
        <v>74</v>
      </c>
      <c r="AA313" t="s">
        <v>74</v>
      </c>
      <c r="AB313" t="s">
        <v>74</v>
      </c>
      <c r="AC313" t="s">
        <v>74</v>
      </c>
      <c r="AD313" t="s">
        <v>74</v>
      </c>
      <c r="AE313" t="s">
        <v>74</v>
      </c>
      <c r="AF313" t="s">
        <v>74</v>
      </c>
      <c r="AG313">
        <v>0</v>
      </c>
      <c r="AH313">
        <v>0</v>
      </c>
      <c r="AI313">
        <v>0</v>
      </c>
      <c r="AJ313">
        <v>0</v>
      </c>
      <c r="AK313">
        <v>0</v>
      </c>
      <c r="AL313" t="s">
        <v>581</v>
      </c>
      <c r="AM313" t="s">
        <v>162</v>
      </c>
      <c r="AN313" t="s">
        <v>582</v>
      </c>
      <c r="AO313" t="s">
        <v>2127</v>
      </c>
      <c r="AP313" t="s">
        <v>4699</v>
      </c>
      <c r="AQ313" t="s">
        <v>74</v>
      </c>
      <c r="AR313" t="s">
        <v>2128</v>
      </c>
      <c r="AS313" t="s">
        <v>2129</v>
      </c>
      <c r="AT313" t="s">
        <v>4700</v>
      </c>
      <c r="AU313">
        <v>2002</v>
      </c>
      <c r="AV313">
        <v>80</v>
      </c>
      <c r="AW313">
        <v>12</v>
      </c>
      <c r="AX313" t="s">
        <v>74</v>
      </c>
      <c r="AY313" t="s">
        <v>74</v>
      </c>
      <c r="AZ313" t="s">
        <v>74</v>
      </c>
      <c r="BA313" t="s">
        <v>74</v>
      </c>
      <c r="BB313">
        <v>12</v>
      </c>
      <c r="BC313">
        <v>12</v>
      </c>
      <c r="BD313" t="s">
        <v>74</v>
      </c>
      <c r="BE313" t="s">
        <v>74</v>
      </c>
      <c r="BF313" t="s">
        <v>74</v>
      </c>
      <c r="BG313" t="s">
        <v>74</v>
      </c>
      <c r="BH313" t="s">
        <v>74</v>
      </c>
      <c r="BI313">
        <v>1</v>
      </c>
      <c r="BJ313" t="s">
        <v>2131</v>
      </c>
      <c r="BK313" t="s">
        <v>170</v>
      </c>
      <c r="BL313" t="s">
        <v>2132</v>
      </c>
      <c r="BM313" t="s">
        <v>4701</v>
      </c>
      <c r="BN313" t="s">
        <v>74</v>
      </c>
      <c r="BO313" t="s">
        <v>74</v>
      </c>
      <c r="BP313" t="s">
        <v>74</v>
      </c>
      <c r="BQ313" t="s">
        <v>74</v>
      </c>
      <c r="BR313" t="s">
        <v>107</v>
      </c>
      <c r="BS313" t="s">
        <v>4702</v>
      </c>
      <c r="BT313" t="str">
        <f>HYPERLINK("https%3A%2F%2Fwww.webofscience.com%2Fwos%2Fwoscc%2Ffull-record%2FWOS:000174669900014","View Full Record in Web of Science")</f>
        <v>View Full Record in Web of Science</v>
      </c>
    </row>
    <row r="314" spans="1:72" x14ac:dyDescent="0.15">
      <c r="A314" t="s">
        <v>72</v>
      </c>
      <c r="B314" t="s">
        <v>4703</v>
      </c>
      <c r="C314" t="s">
        <v>74</v>
      </c>
      <c r="D314" t="s">
        <v>74</v>
      </c>
      <c r="E314" t="s">
        <v>74</v>
      </c>
      <c r="F314" t="s">
        <v>4703</v>
      </c>
      <c r="G314" t="s">
        <v>74</v>
      </c>
      <c r="H314" t="s">
        <v>74</v>
      </c>
      <c r="I314" t="s">
        <v>4704</v>
      </c>
      <c r="J314" t="s">
        <v>4705</v>
      </c>
      <c r="K314" t="s">
        <v>74</v>
      </c>
      <c r="L314" t="s">
        <v>74</v>
      </c>
      <c r="M314" t="s">
        <v>77</v>
      </c>
      <c r="N314" t="s">
        <v>153</v>
      </c>
      <c r="O314" t="s">
        <v>74</v>
      </c>
      <c r="P314" t="s">
        <v>74</v>
      </c>
      <c r="Q314" t="s">
        <v>74</v>
      </c>
      <c r="R314" t="s">
        <v>74</v>
      </c>
      <c r="S314" t="s">
        <v>74</v>
      </c>
      <c r="T314" t="s">
        <v>74</v>
      </c>
      <c r="U314" t="s">
        <v>4706</v>
      </c>
      <c r="V314" t="s">
        <v>4707</v>
      </c>
      <c r="W314" t="s">
        <v>4708</v>
      </c>
      <c r="X314" t="s">
        <v>4709</v>
      </c>
      <c r="Y314" t="s">
        <v>4710</v>
      </c>
      <c r="Z314" t="s">
        <v>74</v>
      </c>
      <c r="AA314" t="s">
        <v>4711</v>
      </c>
      <c r="AB314" t="s">
        <v>4712</v>
      </c>
      <c r="AC314" t="s">
        <v>74</v>
      </c>
      <c r="AD314" t="s">
        <v>74</v>
      </c>
      <c r="AE314" t="s">
        <v>74</v>
      </c>
      <c r="AF314" t="s">
        <v>74</v>
      </c>
      <c r="AG314">
        <v>44</v>
      </c>
      <c r="AH314">
        <v>19</v>
      </c>
      <c r="AI314">
        <v>20</v>
      </c>
      <c r="AJ314">
        <v>0</v>
      </c>
      <c r="AK314">
        <v>9</v>
      </c>
      <c r="AL314" t="s">
        <v>4713</v>
      </c>
      <c r="AM314" t="s">
        <v>4714</v>
      </c>
      <c r="AN314" t="s">
        <v>4715</v>
      </c>
      <c r="AO314" t="s">
        <v>4716</v>
      </c>
      <c r="AP314" t="s">
        <v>74</v>
      </c>
      <c r="AQ314" t="s">
        <v>74</v>
      </c>
      <c r="AR314" t="s">
        <v>4717</v>
      </c>
      <c r="AS314" t="s">
        <v>4718</v>
      </c>
      <c r="AT314" t="s">
        <v>4719</v>
      </c>
      <c r="AU314">
        <v>2002</v>
      </c>
      <c r="AV314">
        <v>116</v>
      </c>
      <c r="AW314">
        <v>12</v>
      </c>
      <c r="AX314" t="s">
        <v>74</v>
      </c>
      <c r="AY314" t="s">
        <v>74</v>
      </c>
      <c r="AZ314" t="s">
        <v>74</v>
      </c>
      <c r="BA314" t="s">
        <v>74</v>
      </c>
      <c r="BB314">
        <v>5143</v>
      </c>
      <c r="BC314">
        <v>5149</v>
      </c>
      <c r="BD314" t="s">
        <v>74</v>
      </c>
      <c r="BE314" t="s">
        <v>4720</v>
      </c>
      <c r="BF314" t="str">
        <f>HYPERLINK("http://dx.doi.org/10.1063/1.1454990","http://dx.doi.org/10.1063/1.1454990")</f>
        <v>http://dx.doi.org/10.1063/1.1454990</v>
      </c>
      <c r="BG314" t="s">
        <v>74</v>
      </c>
      <c r="BH314" t="s">
        <v>74</v>
      </c>
      <c r="BI314">
        <v>7</v>
      </c>
      <c r="BJ314" t="s">
        <v>588</v>
      </c>
      <c r="BK314" t="s">
        <v>170</v>
      </c>
      <c r="BL314" t="s">
        <v>589</v>
      </c>
      <c r="BM314" t="s">
        <v>4721</v>
      </c>
      <c r="BN314" t="s">
        <v>74</v>
      </c>
      <c r="BO314" t="s">
        <v>106</v>
      </c>
      <c r="BP314" t="s">
        <v>74</v>
      </c>
      <c r="BQ314" t="s">
        <v>74</v>
      </c>
      <c r="BR314" t="s">
        <v>107</v>
      </c>
      <c r="BS314" t="s">
        <v>4722</v>
      </c>
      <c r="BT314" t="str">
        <f>HYPERLINK("https%3A%2F%2Fwww.webofscience.com%2Fwos%2Fwoscc%2Ffull-record%2FWOS:000174363700048","View Full Record in Web of Science")</f>
        <v>View Full Record in Web of Science</v>
      </c>
    </row>
    <row r="315" spans="1:72" x14ac:dyDescent="0.15">
      <c r="A315" t="s">
        <v>72</v>
      </c>
      <c r="B315" t="s">
        <v>4723</v>
      </c>
      <c r="C315" t="s">
        <v>74</v>
      </c>
      <c r="D315" t="s">
        <v>74</v>
      </c>
      <c r="E315" t="s">
        <v>74</v>
      </c>
      <c r="F315" t="s">
        <v>4723</v>
      </c>
      <c r="G315" t="s">
        <v>74</v>
      </c>
      <c r="H315" t="s">
        <v>74</v>
      </c>
      <c r="I315" t="s">
        <v>4724</v>
      </c>
      <c r="J315" t="s">
        <v>3208</v>
      </c>
      <c r="K315" t="s">
        <v>74</v>
      </c>
      <c r="L315" t="s">
        <v>74</v>
      </c>
      <c r="M315" t="s">
        <v>77</v>
      </c>
      <c r="N315" t="s">
        <v>153</v>
      </c>
      <c r="O315" t="s">
        <v>74</v>
      </c>
      <c r="P315" t="s">
        <v>74</v>
      </c>
      <c r="Q315" t="s">
        <v>74</v>
      </c>
      <c r="R315" t="s">
        <v>74</v>
      </c>
      <c r="S315" t="s">
        <v>74</v>
      </c>
      <c r="T315" t="s">
        <v>74</v>
      </c>
      <c r="U315" t="s">
        <v>74</v>
      </c>
      <c r="V315" t="s">
        <v>4725</v>
      </c>
      <c r="W315" t="s">
        <v>4726</v>
      </c>
      <c r="X315" t="s">
        <v>4727</v>
      </c>
      <c r="Y315" t="s">
        <v>4728</v>
      </c>
      <c r="Z315" t="s">
        <v>74</v>
      </c>
      <c r="AA315" t="s">
        <v>74</v>
      </c>
      <c r="AB315" t="s">
        <v>4729</v>
      </c>
      <c r="AC315" t="s">
        <v>74</v>
      </c>
      <c r="AD315" t="s">
        <v>74</v>
      </c>
      <c r="AE315" t="s">
        <v>74</v>
      </c>
      <c r="AF315" t="s">
        <v>74</v>
      </c>
      <c r="AG315">
        <v>15</v>
      </c>
      <c r="AH315">
        <v>104</v>
      </c>
      <c r="AI315">
        <v>123</v>
      </c>
      <c r="AJ315">
        <v>1</v>
      </c>
      <c r="AK315">
        <v>24</v>
      </c>
      <c r="AL315" t="s">
        <v>3214</v>
      </c>
      <c r="AM315" t="s">
        <v>1127</v>
      </c>
      <c r="AN315" t="s">
        <v>3215</v>
      </c>
      <c r="AO315" t="s">
        <v>3216</v>
      </c>
      <c r="AP315" t="s">
        <v>74</v>
      </c>
      <c r="AQ315" t="s">
        <v>74</v>
      </c>
      <c r="AR315" t="s">
        <v>3208</v>
      </c>
      <c r="AS315" t="s">
        <v>3218</v>
      </c>
      <c r="AT315" t="s">
        <v>4730</v>
      </c>
      <c r="AU315">
        <v>2002</v>
      </c>
      <c r="AV315">
        <v>416</v>
      </c>
      <c r="AW315">
        <v>6878</v>
      </c>
      <c r="AX315" t="s">
        <v>74</v>
      </c>
      <c r="AY315" t="s">
        <v>74</v>
      </c>
      <c r="AZ315" t="s">
        <v>74</v>
      </c>
      <c r="BA315" t="s">
        <v>74</v>
      </c>
      <c r="BB315">
        <v>307</v>
      </c>
      <c r="BC315">
        <v>310</v>
      </c>
      <c r="BD315" t="s">
        <v>74</v>
      </c>
      <c r="BE315" t="s">
        <v>4731</v>
      </c>
      <c r="BF315" t="str">
        <f>HYPERLINK("http://dx.doi.org/10.1038/416307a","http://dx.doi.org/10.1038/416307a")</f>
        <v>http://dx.doi.org/10.1038/416307a</v>
      </c>
      <c r="BG315" t="s">
        <v>74</v>
      </c>
      <c r="BH315" t="s">
        <v>74</v>
      </c>
      <c r="BI315">
        <v>4</v>
      </c>
      <c r="BJ315" t="s">
        <v>662</v>
      </c>
      <c r="BK315" t="s">
        <v>170</v>
      </c>
      <c r="BL315" t="s">
        <v>663</v>
      </c>
      <c r="BM315" t="s">
        <v>4732</v>
      </c>
      <c r="BN315">
        <v>11907573</v>
      </c>
      <c r="BO315" t="s">
        <v>74</v>
      </c>
      <c r="BP315" t="s">
        <v>74</v>
      </c>
      <c r="BQ315" t="s">
        <v>74</v>
      </c>
      <c r="BR315" t="s">
        <v>107</v>
      </c>
      <c r="BS315" t="s">
        <v>4733</v>
      </c>
      <c r="BT315" t="str">
        <f>HYPERLINK("https%3A%2F%2Fwww.webofscience.com%2Fwos%2Fwoscc%2Ffull-record%2FWOS:000174482200038","View Full Record in Web of Science")</f>
        <v>View Full Record in Web of Science</v>
      </c>
    </row>
    <row r="316" spans="1:72" x14ac:dyDescent="0.15">
      <c r="A316" t="s">
        <v>72</v>
      </c>
      <c r="B316" t="s">
        <v>4734</v>
      </c>
      <c r="C316" t="s">
        <v>74</v>
      </c>
      <c r="D316" t="s">
        <v>74</v>
      </c>
      <c r="E316" t="s">
        <v>74</v>
      </c>
      <c r="F316" t="s">
        <v>4734</v>
      </c>
      <c r="G316" t="s">
        <v>74</v>
      </c>
      <c r="H316" t="s">
        <v>74</v>
      </c>
      <c r="I316" t="s">
        <v>4735</v>
      </c>
      <c r="J316" t="s">
        <v>4736</v>
      </c>
      <c r="K316" t="s">
        <v>74</v>
      </c>
      <c r="L316" t="s">
        <v>74</v>
      </c>
      <c r="M316" t="s">
        <v>77</v>
      </c>
      <c r="N316" t="s">
        <v>52</v>
      </c>
      <c r="O316" t="s">
        <v>74</v>
      </c>
      <c r="P316" t="s">
        <v>74</v>
      </c>
      <c r="Q316" t="s">
        <v>74</v>
      </c>
      <c r="R316" t="s">
        <v>74</v>
      </c>
      <c r="S316" t="s">
        <v>74</v>
      </c>
      <c r="T316" t="s">
        <v>74</v>
      </c>
      <c r="U316" t="s">
        <v>74</v>
      </c>
      <c r="V316" t="s">
        <v>74</v>
      </c>
      <c r="W316" t="s">
        <v>4737</v>
      </c>
      <c r="X316" t="s">
        <v>4738</v>
      </c>
      <c r="Y316" t="s">
        <v>74</v>
      </c>
      <c r="Z316" t="s">
        <v>74</v>
      </c>
      <c r="AA316" t="s">
        <v>74</v>
      </c>
      <c r="AB316" t="s">
        <v>74</v>
      </c>
      <c r="AC316" t="s">
        <v>74</v>
      </c>
      <c r="AD316" t="s">
        <v>74</v>
      </c>
      <c r="AE316" t="s">
        <v>74</v>
      </c>
      <c r="AF316" t="s">
        <v>74</v>
      </c>
      <c r="AG316">
        <v>0</v>
      </c>
      <c r="AH316">
        <v>0</v>
      </c>
      <c r="AI316">
        <v>0</v>
      </c>
      <c r="AJ316">
        <v>0</v>
      </c>
      <c r="AK316">
        <v>1</v>
      </c>
      <c r="AL316" t="s">
        <v>4739</v>
      </c>
      <c r="AM316" t="s">
        <v>934</v>
      </c>
      <c r="AN316" t="s">
        <v>935</v>
      </c>
      <c r="AO316" t="s">
        <v>4740</v>
      </c>
      <c r="AP316" t="s">
        <v>74</v>
      </c>
      <c r="AQ316" t="s">
        <v>74</v>
      </c>
      <c r="AR316" t="s">
        <v>4741</v>
      </c>
      <c r="AS316" t="s">
        <v>4742</v>
      </c>
      <c r="AT316" t="s">
        <v>4743</v>
      </c>
      <c r="AU316">
        <v>2002</v>
      </c>
      <c r="AV316">
        <v>16</v>
      </c>
      <c r="AW316">
        <v>4</v>
      </c>
      <c r="AX316">
        <v>1</v>
      </c>
      <c r="AY316" t="s">
        <v>74</v>
      </c>
      <c r="AZ316" t="s">
        <v>74</v>
      </c>
      <c r="BA316" t="s">
        <v>74</v>
      </c>
      <c r="BB316" t="s">
        <v>4744</v>
      </c>
      <c r="BC316" t="s">
        <v>4745</v>
      </c>
      <c r="BD316" t="s">
        <v>74</v>
      </c>
      <c r="BE316" t="s">
        <v>74</v>
      </c>
      <c r="BF316" t="s">
        <v>74</v>
      </c>
      <c r="BG316" t="s">
        <v>74</v>
      </c>
      <c r="BH316" t="s">
        <v>74</v>
      </c>
      <c r="BI316">
        <v>2</v>
      </c>
      <c r="BJ316" t="s">
        <v>4746</v>
      </c>
      <c r="BK316" t="s">
        <v>170</v>
      </c>
      <c r="BL316" t="s">
        <v>4747</v>
      </c>
      <c r="BM316" t="s">
        <v>4748</v>
      </c>
      <c r="BN316" t="s">
        <v>74</v>
      </c>
      <c r="BO316" t="s">
        <v>74</v>
      </c>
      <c r="BP316" t="s">
        <v>74</v>
      </c>
      <c r="BQ316" t="s">
        <v>74</v>
      </c>
      <c r="BR316" t="s">
        <v>107</v>
      </c>
      <c r="BS316" t="s">
        <v>4749</v>
      </c>
      <c r="BT316" t="str">
        <f>HYPERLINK("https%3A%2F%2Fwww.webofscience.com%2Fwos%2Fwoscc%2Ffull-record%2FWOS:000174533600249","View Full Record in Web of Science")</f>
        <v>View Full Record in Web of Science</v>
      </c>
    </row>
    <row r="317" spans="1:72" x14ac:dyDescent="0.15">
      <c r="A317" t="s">
        <v>72</v>
      </c>
      <c r="B317" t="s">
        <v>4750</v>
      </c>
      <c r="C317" t="s">
        <v>74</v>
      </c>
      <c r="D317" t="s">
        <v>74</v>
      </c>
      <c r="E317" t="s">
        <v>74</v>
      </c>
      <c r="F317" t="s">
        <v>4750</v>
      </c>
      <c r="G317" t="s">
        <v>74</v>
      </c>
      <c r="H317" t="s">
        <v>74</v>
      </c>
      <c r="I317" t="s">
        <v>4751</v>
      </c>
      <c r="J317" t="s">
        <v>4736</v>
      </c>
      <c r="K317" t="s">
        <v>74</v>
      </c>
      <c r="L317" t="s">
        <v>74</v>
      </c>
      <c r="M317" t="s">
        <v>77</v>
      </c>
      <c r="N317" t="s">
        <v>52</v>
      </c>
      <c r="O317" t="s">
        <v>74</v>
      </c>
      <c r="P317" t="s">
        <v>74</v>
      </c>
      <c r="Q317" t="s">
        <v>74</v>
      </c>
      <c r="R317" t="s">
        <v>74</v>
      </c>
      <c r="S317" t="s">
        <v>74</v>
      </c>
      <c r="T317" t="s">
        <v>74</v>
      </c>
      <c r="U317" t="s">
        <v>74</v>
      </c>
      <c r="V317" t="s">
        <v>74</v>
      </c>
      <c r="W317" t="s">
        <v>4752</v>
      </c>
      <c r="X317" t="s">
        <v>4753</v>
      </c>
      <c r="Y317" t="s">
        <v>74</v>
      </c>
      <c r="Z317" t="s">
        <v>74</v>
      </c>
      <c r="AA317" t="s">
        <v>74</v>
      </c>
      <c r="AB317" t="s">
        <v>74</v>
      </c>
      <c r="AC317" t="s">
        <v>74</v>
      </c>
      <c r="AD317" t="s">
        <v>74</v>
      </c>
      <c r="AE317" t="s">
        <v>74</v>
      </c>
      <c r="AF317" t="s">
        <v>74</v>
      </c>
      <c r="AG317">
        <v>0</v>
      </c>
      <c r="AH317">
        <v>0</v>
      </c>
      <c r="AI317">
        <v>0</v>
      </c>
      <c r="AJ317">
        <v>0</v>
      </c>
      <c r="AK317">
        <v>1</v>
      </c>
      <c r="AL317" t="s">
        <v>4739</v>
      </c>
      <c r="AM317" t="s">
        <v>934</v>
      </c>
      <c r="AN317" t="s">
        <v>935</v>
      </c>
      <c r="AO317" t="s">
        <v>4740</v>
      </c>
      <c r="AP317" t="s">
        <v>74</v>
      </c>
      <c r="AQ317" t="s">
        <v>74</v>
      </c>
      <c r="AR317" t="s">
        <v>4741</v>
      </c>
      <c r="AS317" t="s">
        <v>4742</v>
      </c>
      <c r="AT317" t="s">
        <v>4743</v>
      </c>
      <c r="AU317">
        <v>2002</v>
      </c>
      <c r="AV317">
        <v>16</v>
      </c>
      <c r="AW317">
        <v>4</v>
      </c>
      <c r="AX317">
        <v>1</v>
      </c>
      <c r="AY317" t="s">
        <v>74</v>
      </c>
      <c r="AZ317" t="s">
        <v>74</v>
      </c>
      <c r="BA317" t="s">
        <v>74</v>
      </c>
      <c r="BB317" t="s">
        <v>4744</v>
      </c>
      <c r="BC317" t="s">
        <v>4744</v>
      </c>
      <c r="BD317" t="s">
        <v>74</v>
      </c>
      <c r="BE317" t="s">
        <v>74</v>
      </c>
      <c r="BF317" t="s">
        <v>74</v>
      </c>
      <c r="BG317" t="s">
        <v>74</v>
      </c>
      <c r="BH317" t="s">
        <v>74</v>
      </c>
      <c r="BI317">
        <v>1</v>
      </c>
      <c r="BJ317" t="s">
        <v>4746</v>
      </c>
      <c r="BK317" t="s">
        <v>170</v>
      </c>
      <c r="BL317" t="s">
        <v>4747</v>
      </c>
      <c r="BM317" t="s">
        <v>4748</v>
      </c>
      <c r="BN317" t="s">
        <v>74</v>
      </c>
      <c r="BO317" t="s">
        <v>74</v>
      </c>
      <c r="BP317" t="s">
        <v>74</v>
      </c>
      <c r="BQ317" t="s">
        <v>74</v>
      </c>
      <c r="BR317" t="s">
        <v>107</v>
      </c>
      <c r="BS317" t="s">
        <v>4754</v>
      </c>
      <c r="BT317" t="str">
        <f>HYPERLINK("https%3A%2F%2Fwww.webofscience.com%2Fwos%2Fwoscc%2Ffull-record%2FWOS:000174533600248","View Full Record in Web of Science")</f>
        <v>View Full Record in Web of Science</v>
      </c>
    </row>
    <row r="318" spans="1:72" x14ac:dyDescent="0.15">
      <c r="A318" t="s">
        <v>72</v>
      </c>
      <c r="B318" t="s">
        <v>4755</v>
      </c>
      <c r="C318" t="s">
        <v>74</v>
      </c>
      <c r="D318" t="s">
        <v>74</v>
      </c>
      <c r="E318" t="s">
        <v>74</v>
      </c>
      <c r="F318" t="s">
        <v>4755</v>
      </c>
      <c r="G318" t="s">
        <v>74</v>
      </c>
      <c r="H318" t="s">
        <v>74</v>
      </c>
      <c r="I318" t="s">
        <v>4756</v>
      </c>
      <c r="J318" t="s">
        <v>4736</v>
      </c>
      <c r="K318" t="s">
        <v>74</v>
      </c>
      <c r="L318" t="s">
        <v>74</v>
      </c>
      <c r="M318" t="s">
        <v>77</v>
      </c>
      <c r="N318" t="s">
        <v>52</v>
      </c>
      <c r="O318" t="s">
        <v>74</v>
      </c>
      <c r="P318" t="s">
        <v>74</v>
      </c>
      <c r="Q318" t="s">
        <v>74</v>
      </c>
      <c r="R318" t="s">
        <v>74</v>
      </c>
      <c r="S318" t="s">
        <v>74</v>
      </c>
      <c r="T318" t="s">
        <v>74</v>
      </c>
      <c r="U318" t="s">
        <v>74</v>
      </c>
      <c r="V318" t="s">
        <v>74</v>
      </c>
      <c r="W318" t="s">
        <v>2403</v>
      </c>
      <c r="X318" t="s">
        <v>2404</v>
      </c>
      <c r="Y318" t="s">
        <v>74</v>
      </c>
      <c r="Z318" t="s">
        <v>74</v>
      </c>
      <c r="AA318" t="s">
        <v>4757</v>
      </c>
      <c r="AB318" t="s">
        <v>4758</v>
      </c>
      <c r="AC318" t="s">
        <v>74</v>
      </c>
      <c r="AD318" t="s">
        <v>74</v>
      </c>
      <c r="AE318" t="s">
        <v>74</v>
      </c>
      <c r="AF318" t="s">
        <v>74</v>
      </c>
      <c r="AG318">
        <v>0</v>
      </c>
      <c r="AH318">
        <v>0</v>
      </c>
      <c r="AI318">
        <v>0</v>
      </c>
      <c r="AJ318">
        <v>0</v>
      </c>
      <c r="AK318">
        <v>0</v>
      </c>
      <c r="AL318" t="s">
        <v>4739</v>
      </c>
      <c r="AM318" t="s">
        <v>934</v>
      </c>
      <c r="AN318" t="s">
        <v>935</v>
      </c>
      <c r="AO318" t="s">
        <v>4740</v>
      </c>
      <c r="AP318" t="s">
        <v>74</v>
      </c>
      <c r="AQ318" t="s">
        <v>74</v>
      </c>
      <c r="AR318" t="s">
        <v>4741</v>
      </c>
      <c r="AS318" t="s">
        <v>4742</v>
      </c>
      <c r="AT318" t="s">
        <v>4743</v>
      </c>
      <c r="AU318">
        <v>2002</v>
      </c>
      <c r="AV318">
        <v>16</v>
      </c>
      <c r="AW318">
        <v>4</v>
      </c>
      <c r="AX318">
        <v>1</v>
      </c>
      <c r="AY318" t="s">
        <v>74</v>
      </c>
      <c r="AZ318" t="s">
        <v>74</v>
      </c>
      <c r="BA318" t="s">
        <v>74</v>
      </c>
      <c r="BB318" t="s">
        <v>4759</v>
      </c>
      <c r="BC318" t="s">
        <v>4759</v>
      </c>
      <c r="BD318" t="s">
        <v>74</v>
      </c>
      <c r="BE318" t="s">
        <v>74</v>
      </c>
      <c r="BF318" t="s">
        <v>74</v>
      </c>
      <c r="BG318" t="s">
        <v>74</v>
      </c>
      <c r="BH318" t="s">
        <v>74</v>
      </c>
      <c r="BI318">
        <v>1</v>
      </c>
      <c r="BJ318" t="s">
        <v>4746</v>
      </c>
      <c r="BK318" t="s">
        <v>170</v>
      </c>
      <c r="BL318" t="s">
        <v>4747</v>
      </c>
      <c r="BM318" t="s">
        <v>4748</v>
      </c>
      <c r="BN318" t="s">
        <v>74</v>
      </c>
      <c r="BO318" t="s">
        <v>74</v>
      </c>
      <c r="BP318" t="s">
        <v>74</v>
      </c>
      <c r="BQ318" t="s">
        <v>74</v>
      </c>
      <c r="BR318" t="s">
        <v>107</v>
      </c>
      <c r="BS318" t="s">
        <v>4760</v>
      </c>
      <c r="BT318" t="str">
        <f>HYPERLINK("https%3A%2F%2Fwww.webofscience.com%2Fwos%2Fwoscc%2Ffull-record%2FWOS:000174533600264","View Full Record in Web of Science")</f>
        <v>View Full Record in Web of Science</v>
      </c>
    </row>
    <row r="319" spans="1:72" x14ac:dyDescent="0.15">
      <c r="A319" t="s">
        <v>72</v>
      </c>
      <c r="B319" t="s">
        <v>4761</v>
      </c>
      <c r="C319" t="s">
        <v>74</v>
      </c>
      <c r="D319" t="s">
        <v>74</v>
      </c>
      <c r="E319" t="s">
        <v>74</v>
      </c>
      <c r="F319" t="s">
        <v>4761</v>
      </c>
      <c r="G319" t="s">
        <v>74</v>
      </c>
      <c r="H319" t="s">
        <v>74</v>
      </c>
      <c r="I319" t="s">
        <v>4762</v>
      </c>
      <c r="J319" t="s">
        <v>514</v>
      </c>
      <c r="K319" t="s">
        <v>74</v>
      </c>
      <c r="L319" t="s">
        <v>74</v>
      </c>
      <c r="M319" t="s">
        <v>77</v>
      </c>
      <c r="N319" t="s">
        <v>153</v>
      </c>
      <c r="O319" t="s">
        <v>74</v>
      </c>
      <c r="P319" t="s">
        <v>74</v>
      </c>
      <c r="Q319" t="s">
        <v>74</v>
      </c>
      <c r="R319" t="s">
        <v>74</v>
      </c>
      <c r="S319" t="s">
        <v>74</v>
      </c>
      <c r="T319" t="s">
        <v>4763</v>
      </c>
      <c r="U319" t="s">
        <v>4764</v>
      </c>
      <c r="V319" t="s">
        <v>4765</v>
      </c>
      <c r="W319" t="s">
        <v>1950</v>
      </c>
      <c r="X319" t="s">
        <v>1951</v>
      </c>
      <c r="Y319" t="s">
        <v>4766</v>
      </c>
      <c r="Z319" t="s">
        <v>74</v>
      </c>
      <c r="AA319" t="s">
        <v>74</v>
      </c>
      <c r="AB319" t="s">
        <v>4767</v>
      </c>
      <c r="AC319" t="s">
        <v>74</v>
      </c>
      <c r="AD319" t="s">
        <v>74</v>
      </c>
      <c r="AE319" t="s">
        <v>74</v>
      </c>
      <c r="AF319" t="s">
        <v>74</v>
      </c>
      <c r="AG319">
        <v>66</v>
      </c>
      <c r="AH319">
        <v>30</v>
      </c>
      <c r="AI319">
        <v>31</v>
      </c>
      <c r="AJ319">
        <v>0</v>
      </c>
      <c r="AK319">
        <v>10</v>
      </c>
      <c r="AL319" t="s">
        <v>523</v>
      </c>
      <c r="AM319" t="s">
        <v>524</v>
      </c>
      <c r="AN319" t="s">
        <v>525</v>
      </c>
      <c r="AO319" t="s">
        <v>526</v>
      </c>
      <c r="AP319" t="s">
        <v>74</v>
      </c>
      <c r="AQ319" t="s">
        <v>74</v>
      </c>
      <c r="AR319" t="s">
        <v>528</v>
      </c>
      <c r="AS319" t="s">
        <v>529</v>
      </c>
      <c r="AT319" t="s">
        <v>4768</v>
      </c>
      <c r="AU319">
        <v>2002</v>
      </c>
      <c r="AV319">
        <v>27</v>
      </c>
      <c r="AW319">
        <v>2</v>
      </c>
      <c r="AX319" t="s">
        <v>74</v>
      </c>
      <c r="AY319" t="s">
        <v>74</v>
      </c>
      <c r="AZ319" t="s">
        <v>74</v>
      </c>
      <c r="BA319" t="s">
        <v>74</v>
      </c>
      <c r="BB319">
        <v>159</v>
      </c>
      <c r="BC319">
        <v>174</v>
      </c>
      <c r="BD319" t="s">
        <v>74</v>
      </c>
      <c r="BE319" t="s">
        <v>4769</v>
      </c>
      <c r="BF319" t="str">
        <f>HYPERLINK("http://dx.doi.org/10.3354/ame027159","http://dx.doi.org/10.3354/ame027159")</f>
        <v>http://dx.doi.org/10.3354/ame027159</v>
      </c>
      <c r="BG319" t="s">
        <v>74</v>
      </c>
      <c r="BH319" t="s">
        <v>74</v>
      </c>
      <c r="BI319">
        <v>16</v>
      </c>
      <c r="BJ319" t="s">
        <v>532</v>
      </c>
      <c r="BK319" t="s">
        <v>170</v>
      </c>
      <c r="BL319" t="s">
        <v>533</v>
      </c>
      <c r="BM319" t="s">
        <v>4770</v>
      </c>
      <c r="BN319" t="s">
        <v>74</v>
      </c>
      <c r="BO319" t="s">
        <v>173</v>
      </c>
      <c r="BP319" t="s">
        <v>74</v>
      </c>
      <c r="BQ319" t="s">
        <v>74</v>
      </c>
      <c r="BR319" t="s">
        <v>107</v>
      </c>
      <c r="BS319" t="s">
        <v>4771</v>
      </c>
      <c r="BT319" t="str">
        <f>HYPERLINK("https%3A%2F%2Fwww.webofscience.com%2Fwos%2Fwoscc%2Ffull-record%2FWOS:000174729600006","View Full Record in Web of Science")</f>
        <v>View Full Record in Web of Science</v>
      </c>
    </row>
    <row r="320" spans="1:72" x14ac:dyDescent="0.15">
      <c r="A320" t="s">
        <v>72</v>
      </c>
      <c r="B320" t="s">
        <v>4772</v>
      </c>
      <c r="C320" t="s">
        <v>74</v>
      </c>
      <c r="D320" t="s">
        <v>74</v>
      </c>
      <c r="E320" t="s">
        <v>74</v>
      </c>
      <c r="F320" t="s">
        <v>4772</v>
      </c>
      <c r="G320" t="s">
        <v>74</v>
      </c>
      <c r="H320" t="s">
        <v>74</v>
      </c>
      <c r="I320" t="s">
        <v>4773</v>
      </c>
      <c r="J320" t="s">
        <v>4774</v>
      </c>
      <c r="K320" t="s">
        <v>74</v>
      </c>
      <c r="L320" t="s">
        <v>74</v>
      </c>
      <c r="M320" t="s">
        <v>77</v>
      </c>
      <c r="N320" t="s">
        <v>153</v>
      </c>
      <c r="O320" t="s">
        <v>74</v>
      </c>
      <c r="P320" t="s">
        <v>74</v>
      </c>
      <c r="Q320" t="s">
        <v>74</v>
      </c>
      <c r="R320" t="s">
        <v>74</v>
      </c>
      <c r="S320" t="s">
        <v>74</v>
      </c>
      <c r="T320" t="s">
        <v>74</v>
      </c>
      <c r="U320" t="s">
        <v>4775</v>
      </c>
      <c r="V320" t="s">
        <v>4776</v>
      </c>
      <c r="W320" t="s">
        <v>4777</v>
      </c>
      <c r="X320" t="s">
        <v>4778</v>
      </c>
      <c r="Y320" t="s">
        <v>4779</v>
      </c>
      <c r="Z320" t="s">
        <v>74</v>
      </c>
      <c r="AA320" t="s">
        <v>4780</v>
      </c>
      <c r="AB320" t="s">
        <v>4781</v>
      </c>
      <c r="AC320" t="s">
        <v>74</v>
      </c>
      <c r="AD320" t="s">
        <v>74</v>
      </c>
      <c r="AE320" t="s">
        <v>74</v>
      </c>
      <c r="AF320" t="s">
        <v>74</v>
      </c>
      <c r="AG320">
        <v>24</v>
      </c>
      <c r="AH320">
        <v>253</v>
      </c>
      <c r="AI320">
        <v>295</v>
      </c>
      <c r="AJ320">
        <v>6</v>
      </c>
      <c r="AK320">
        <v>110</v>
      </c>
      <c r="AL320" t="s">
        <v>581</v>
      </c>
      <c r="AM320" t="s">
        <v>162</v>
      </c>
      <c r="AN320" t="s">
        <v>582</v>
      </c>
      <c r="AO320" t="s">
        <v>4782</v>
      </c>
      <c r="AP320" t="s">
        <v>74</v>
      </c>
      <c r="AQ320" t="s">
        <v>74</v>
      </c>
      <c r="AR320" t="s">
        <v>4783</v>
      </c>
      <c r="AS320" t="s">
        <v>4784</v>
      </c>
      <c r="AT320" t="s">
        <v>4768</v>
      </c>
      <c r="AU320">
        <v>2002</v>
      </c>
      <c r="AV320">
        <v>36</v>
      </c>
      <c r="AW320">
        <v>6</v>
      </c>
      <c r="AX320" t="s">
        <v>74</v>
      </c>
      <c r="AY320" t="s">
        <v>74</v>
      </c>
      <c r="AZ320" t="s">
        <v>74</v>
      </c>
      <c r="BA320" t="s">
        <v>74</v>
      </c>
      <c r="BB320">
        <v>1238</v>
      </c>
      <c r="BC320">
        <v>1244</v>
      </c>
      <c r="BD320" t="s">
        <v>74</v>
      </c>
      <c r="BE320" t="s">
        <v>4785</v>
      </c>
      <c r="BF320" t="str">
        <f>HYPERLINK("http://dx.doi.org/10.1021/es015710z","http://dx.doi.org/10.1021/es015710z")</f>
        <v>http://dx.doi.org/10.1021/es015710z</v>
      </c>
      <c r="BG320" t="s">
        <v>74</v>
      </c>
      <c r="BH320" t="s">
        <v>74</v>
      </c>
      <c r="BI320">
        <v>7</v>
      </c>
      <c r="BJ320" t="s">
        <v>4786</v>
      </c>
      <c r="BK320" t="s">
        <v>170</v>
      </c>
      <c r="BL320" t="s">
        <v>4787</v>
      </c>
      <c r="BM320" t="s">
        <v>4788</v>
      </c>
      <c r="BN320">
        <v>11944675</v>
      </c>
      <c r="BO320" t="s">
        <v>74</v>
      </c>
      <c r="BP320" t="s">
        <v>74</v>
      </c>
      <c r="BQ320" t="s">
        <v>74</v>
      </c>
      <c r="BR320" t="s">
        <v>107</v>
      </c>
      <c r="BS320" t="s">
        <v>4789</v>
      </c>
      <c r="BT320" t="str">
        <f>HYPERLINK("https%3A%2F%2Fwww.webofscience.com%2Fwos%2Fwoscc%2Ffull-record%2FWOS:000174458100014","View Full Record in Web of Science")</f>
        <v>View Full Record in Web of Science</v>
      </c>
    </row>
    <row r="321" spans="1:72" x14ac:dyDescent="0.15">
      <c r="A321" t="s">
        <v>72</v>
      </c>
      <c r="B321" t="s">
        <v>4790</v>
      </c>
      <c r="C321" t="s">
        <v>74</v>
      </c>
      <c r="D321" t="s">
        <v>74</v>
      </c>
      <c r="E321" t="s">
        <v>74</v>
      </c>
      <c r="F321" t="s">
        <v>4790</v>
      </c>
      <c r="G321" t="s">
        <v>74</v>
      </c>
      <c r="H321" t="s">
        <v>74</v>
      </c>
      <c r="I321" t="s">
        <v>4791</v>
      </c>
      <c r="J321" t="s">
        <v>465</v>
      </c>
      <c r="K321" t="s">
        <v>74</v>
      </c>
      <c r="L321" t="s">
        <v>74</v>
      </c>
      <c r="M321" t="s">
        <v>77</v>
      </c>
      <c r="N321" t="s">
        <v>153</v>
      </c>
      <c r="O321" t="s">
        <v>74</v>
      </c>
      <c r="P321" t="s">
        <v>74</v>
      </c>
      <c r="Q321" t="s">
        <v>74</v>
      </c>
      <c r="R321" t="s">
        <v>74</v>
      </c>
      <c r="S321" t="s">
        <v>74</v>
      </c>
      <c r="T321" t="s">
        <v>4792</v>
      </c>
      <c r="U321" t="s">
        <v>4793</v>
      </c>
      <c r="V321" t="s">
        <v>4794</v>
      </c>
      <c r="W321" t="s">
        <v>4795</v>
      </c>
      <c r="X321" t="s">
        <v>4796</v>
      </c>
      <c r="Y321" t="s">
        <v>4797</v>
      </c>
      <c r="Z321" t="s">
        <v>74</v>
      </c>
      <c r="AA321" t="s">
        <v>74</v>
      </c>
      <c r="AB321" t="s">
        <v>74</v>
      </c>
      <c r="AC321" t="s">
        <v>74</v>
      </c>
      <c r="AD321" t="s">
        <v>74</v>
      </c>
      <c r="AE321" t="s">
        <v>74</v>
      </c>
      <c r="AF321" t="s">
        <v>74</v>
      </c>
      <c r="AG321">
        <v>53</v>
      </c>
      <c r="AH321">
        <v>44</v>
      </c>
      <c r="AI321">
        <v>49</v>
      </c>
      <c r="AJ321">
        <v>1</v>
      </c>
      <c r="AK321">
        <v>9</v>
      </c>
      <c r="AL321" t="s">
        <v>215</v>
      </c>
      <c r="AM321" t="s">
        <v>216</v>
      </c>
      <c r="AN321" t="s">
        <v>217</v>
      </c>
      <c r="AO321" t="s">
        <v>474</v>
      </c>
      <c r="AP321" t="s">
        <v>74</v>
      </c>
      <c r="AQ321" t="s">
        <v>74</v>
      </c>
      <c r="AR321" t="s">
        <v>475</v>
      </c>
      <c r="AS321" t="s">
        <v>476</v>
      </c>
      <c r="AT321" t="s">
        <v>4768</v>
      </c>
      <c r="AU321">
        <v>2002</v>
      </c>
      <c r="AV321">
        <v>22</v>
      </c>
      <c r="AW321">
        <v>3</v>
      </c>
      <c r="AX321" t="s">
        <v>74</v>
      </c>
      <c r="AY321" t="s">
        <v>74</v>
      </c>
      <c r="AZ321" t="s">
        <v>74</v>
      </c>
      <c r="BA321" t="s">
        <v>74</v>
      </c>
      <c r="BB321">
        <v>291</v>
      </c>
      <c r="BC321">
        <v>310</v>
      </c>
      <c r="BD321" t="s">
        <v>74</v>
      </c>
      <c r="BE321" t="s">
        <v>4798</v>
      </c>
      <c r="BF321" t="str">
        <f>HYPERLINK("http://dx.doi.org/10.1002/joc.758","http://dx.doi.org/10.1002/joc.758")</f>
        <v>http://dx.doi.org/10.1002/joc.758</v>
      </c>
      <c r="BG321" t="s">
        <v>74</v>
      </c>
      <c r="BH321" t="s">
        <v>74</v>
      </c>
      <c r="BI321">
        <v>20</v>
      </c>
      <c r="BJ321" t="s">
        <v>403</v>
      </c>
      <c r="BK321" t="s">
        <v>170</v>
      </c>
      <c r="BL321" t="s">
        <v>403</v>
      </c>
      <c r="BM321" t="s">
        <v>4799</v>
      </c>
      <c r="BN321" t="s">
        <v>74</v>
      </c>
      <c r="BO321" t="s">
        <v>74</v>
      </c>
      <c r="BP321" t="s">
        <v>74</v>
      </c>
      <c r="BQ321" t="s">
        <v>74</v>
      </c>
      <c r="BR321" t="s">
        <v>107</v>
      </c>
      <c r="BS321" t="s">
        <v>4800</v>
      </c>
      <c r="BT321" t="str">
        <f>HYPERLINK("https%3A%2F%2Fwww.webofscience.com%2Fwos%2Fwoscc%2Ffull-record%2FWOS:000174649300003","View Full Record in Web of Science")</f>
        <v>View Full Record in Web of Science</v>
      </c>
    </row>
    <row r="322" spans="1:72" x14ac:dyDescent="0.15">
      <c r="A322" t="s">
        <v>72</v>
      </c>
      <c r="B322" t="s">
        <v>4801</v>
      </c>
      <c r="C322" t="s">
        <v>74</v>
      </c>
      <c r="D322" t="s">
        <v>74</v>
      </c>
      <c r="E322" t="s">
        <v>74</v>
      </c>
      <c r="F322" t="s">
        <v>4801</v>
      </c>
      <c r="G322" t="s">
        <v>74</v>
      </c>
      <c r="H322" t="s">
        <v>74</v>
      </c>
      <c r="I322" t="s">
        <v>4802</v>
      </c>
      <c r="J322" t="s">
        <v>4803</v>
      </c>
      <c r="K322" t="s">
        <v>74</v>
      </c>
      <c r="L322" t="s">
        <v>74</v>
      </c>
      <c r="M322" t="s">
        <v>77</v>
      </c>
      <c r="N322" t="s">
        <v>153</v>
      </c>
      <c r="O322" t="s">
        <v>74</v>
      </c>
      <c r="P322" t="s">
        <v>74</v>
      </c>
      <c r="Q322" t="s">
        <v>74</v>
      </c>
      <c r="R322" t="s">
        <v>74</v>
      </c>
      <c r="S322" t="s">
        <v>74</v>
      </c>
      <c r="T322" t="s">
        <v>4804</v>
      </c>
      <c r="U322" t="s">
        <v>4805</v>
      </c>
      <c r="V322" t="s">
        <v>4806</v>
      </c>
      <c r="W322" t="s">
        <v>4807</v>
      </c>
      <c r="X322" t="s">
        <v>4808</v>
      </c>
      <c r="Y322" t="s">
        <v>4809</v>
      </c>
      <c r="Z322" t="s">
        <v>74</v>
      </c>
      <c r="AA322" t="s">
        <v>4810</v>
      </c>
      <c r="AB322" t="s">
        <v>4811</v>
      </c>
      <c r="AC322" t="s">
        <v>74</v>
      </c>
      <c r="AD322" t="s">
        <v>74</v>
      </c>
      <c r="AE322" t="s">
        <v>74</v>
      </c>
      <c r="AF322" t="s">
        <v>74</v>
      </c>
      <c r="AG322">
        <v>48</v>
      </c>
      <c r="AH322">
        <v>13</v>
      </c>
      <c r="AI322">
        <v>20</v>
      </c>
      <c r="AJ322">
        <v>0</v>
      </c>
      <c r="AK322">
        <v>11</v>
      </c>
      <c r="AL322" t="s">
        <v>132</v>
      </c>
      <c r="AM322" t="s">
        <v>91</v>
      </c>
      <c r="AN322" t="s">
        <v>133</v>
      </c>
      <c r="AO322" t="s">
        <v>4812</v>
      </c>
      <c r="AP322" t="s">
        <v>74</v>
      </c>
      <c r="AQ322" t="s">
        <v>74</v>
      </c>
      <c r="AR322" t="s">
        <v>4813</v>
      </c>
      <c r="AS322" t="s">
        <v>4814</v>
      </c>
      <c r="AT322" t="s">
        <v>4768</v>
      </c>
      <c r="AU322">
        <v>2002</v>
      </c>
      <c r="AV322">
        <v>269</v>
      </c>
      <c r="AW322">
        <v>1</v>
      </c>
      <c r="AX322" t="s">
        <v>74</v>
      </c>
      <c r="AY322" t="s">
        <v>74</v>
      </c>
      <c r="AZ322" t="s">
        <v>74</v>
      </c>
      <c r="BA322" t="s">
        <v>74</v>
      </c>
      <c r="BB322">
        <v>53</v>
      </c>
      <c r="BC322">
        <v>64</v>
      </c>
      <c r="BD322" t="s">
        <v>4815</v>
      </c>
      <c r="BE322" t="s">
        <v>4816</v>
      </c>
      <c r="BF322" t="str">
        <f>HYPERLINK("http://dx.doi.org/10.1016/S0022-0981(01)00388-4","http://dx.doi.org/10.1016/S0022-0981(01)00388-4")</f>
        <v>http://dx.doi.org/10.1016/S0022-0981(01)00388-4</v>
      </c>
      <c r="BG322" t="s">
        <v>74</v>
      </c>
      <c r="BH322" t="s">
        <v>74</v>
      </c>
      <c r="BI322">
        <v>12</v>
      </c>
      <c r="BJ322" t="s">
        <v>4817</v>
      </c>
      <c r="BK322" t="s">
        <v>170</v>
      </c>
      <c r="BL322" t="s">
        <v>2933</v>
      </c>
      <c r="BM322" t="s">
        <v>4818</v>
      </c>
      <c r="BN322" t="s">
        <v>74</v>
      </c>
      <c r="BO322" t="s">
        <v>74</v>
      </c>
      <c r="BP322" t="s">
        <v>74</v>
      </c>
      <c r="BQ322" t="s">
        <v>74</v>
      </c>
      <c r="BR322" t="s">
        <v>107</v>
      </c>
      <c r="BS322" t="s">
        <v>4819</v>
      </c>
      <c r="BT322" t="str">
        <f>HYPERLINK("https%3A%2F%2Fwww.webofscience.com%2Fwos%2Fwoscc%2Ffull-record%2FWOS:000174486700005","View Full Record in Web of Science")</f>
        <v>View Full Record in Web of Science</v>
      </c>
    </row>
    <row r="323" spans="1:72" x14ac:dyDescent="0.15">
      <c r="A323" t="s">
        <v>72</v>
      </c>
      <c r="B323" t="s">
        <v>4820</v>
      </c>
      <c r="C323" t="s">
        <v>74</v>
      </c>
      <c r="D323" t="s">
        <v>74</v>
      </c>
      <c r="E323" t="s">
        <v>74</v>
      </c>
      <c r="F323" t="s">
        <v>4820</v>
      </c>
      <c r="G323" t="s">
        <v>74</v>
      </c>
      <c r="H323" t="s">
        <v>74</v>
      </c>
      <c r="I323" t="s">
        <v>4821</v>
      </c>
      <c r="J323" t="s">
        <v>1524</v>
      </c>
      <c r="K323" t="s">
        <v>74</v>
      </c>
      <c r="L323" t="s">
        <v>74</v>
      </c>
      <c r="M323" t="s">
        <v>77</v>
      </c>
      <c r="N323" t="s">
        <v>153</v>
      </c>
      <c r="O323" t="s">
        <v>74</v>
      </c>
      <c r="P323" t="s">
        <v>74</v>
      </c>
      <c r="Q323" t="s">
        <v>74</v>
      </c>
      <c r="R323" t="s">
        <v>74</v>
      </c>
      <c r="S323" t="s">
        <v>74</v>
      </c>
      <c r="T323" t="s">
        <v>4822</v>
      </c>
      <c r="U323" t="s">
        <v>4823</v>
      </c>
      <c r="V323" t="s">
        <v>4824</v>
      </c>
      <c r="W323" t="s">
        <v>4825</v>
      </c>
      <c r="X323" t="s">
        <v>2368</v>
      </c>
      <c r="Y323" t="s">
        <v>4826</v>
      </c>
      <c r="Z323" t="s">
        <v>4827</v>
      </c>
      <c r="AA323" t="s">
        <v>74</v>
      </c>
      <c r="AB323" t="s">
        <v>4828</v>
      </c>
      <c r="AC323" t="s">
        <v>74</v>
      </c>
      <c r="AD323" t="s">
        <v>74</v>
      </c>
      <c r="AE323" t="s">
        <v>74</v>
      </c>
      <c r="AF323" t="s">
        <v>74</v>
      </c>
      <c r="AG323">
        <v>52</v>
      </c>
      <c r="AH323">
        <v>74</v>
      </c>
      <c r="AI323">
        <v>81</v>
      </c>
      <c r="AJ323">
        <v>0</v>
      </c>
      <c r="AK323">
        <v>4</v>
      </c>
      <c r="AL323" t="s">
        <v>161</v>
      </c>
      <c r="AM323" t="s">
        <v>162</v>
      </c>
      <c r="AN323" t="s">
        <v>163</v>
      </c>
      <c r="AO323" t="s">
        <v>1533</v>
      </c>
      <c r="AP323" t="s">
        <v>1534</v>
      </c>
      <c r="AQ323" t="s">
        <v>74</v>
      </c>
      <c r="AR323" t="s">
        <v>1535</v>
      </c>
      <c r="AS323" t="s">
        <v>1536</v>
      </c>
      <c r="AT323" t="s">
        <v>4768</v>
      </c>
      <c r="AU323">
        <v>2002</v>
      </c>
      <c r="AV323">
        <v>107</v>
      </c>
      <c r="AW323" t="s">
        <v>4829</v>
      </c>
      <c r="AX323" t="s">
        <v>74</v>
      </c>
      <c r="AY323" t="s">
        <v>74</v>
      </c>
      <c r="AZ323" t="s">
        <v>74</v>
      </c>
      <c r="BA323" t="s">
        <v>74</v>
      </c>
      <c r="BB323" t="s">
        <v>74</v>
      </c>
      <c r="BC323" t="s">
        <v>74</v>
      </c>
      <c r="BD323">
        <v>3024</v>
      </c>
      <c r="BE323" t="s">
        <v>4830</v>
      </c>
      <c r="BF323" t="str">
        <f>HYPERLINK("http://dx.doi.org/10.1029/2000JC000741","http://dx.doi.org/10.1029/2000JC000741")</f>
        <v>http://dx.doi.org/10.1029/2000JC000741</v>
      </c>
      <c r="BG323" t="s">
        <v>74</v>
      </c>
      <c r="BH323" t="s">
        <v>74</v>
      </c>
      <c r="BI323">
        <v>12</v>
      </c>
      <c r="BJ323" t="s">
        <v>1155</v>
      </c>
      <c r="BK323" t="s">
        <v>170</v>
      </c>
      <c r="BL323" t="s">
        <v>1155</v>
      </c>
      <c r="BM323" t="s">
        <v>4831</v>
      </c>
      <c r="BN323" t="s">
        <v>74</v>
      </c>
      <c r="BO323" t="s">
        <v>665</v>
      </c>
      <c r="BP323" t="s">
        <v>74</v>
      </c>
      <c r="BQ323" t="s">
        <v>74</v>
      </c>
      <c r="BR323" t="s">
        <v>107</v>
      </c>
      <c r="BS323" t="s">
        <v>4832</v>
      </c>
      <c r="BT323" t="str">
        <f>HYPERLINK("https%3A%2F%2Fwww.webofscience.com%2Fwos%2Fwoscc%2Ffull-record%2FWOS:000178922600002","View Full Record in Web of Science")</f>
        <v>View Full Record in Web of Science</v>
      </c>
    </row>
    <row r="324" spans="1:72" x14ac:dyDescent="0.15">
      <c r="A324" t="s">
        <v>72</v>
      </c>
      <c r="B324" t="s">
        <v>4833</v>
      </c>
      <c r="C324" t="s">
        <v>74</v>
      </c>
      <c r="D324" t="s">
        <v>74</v>
      </c>
      <c r="E324" t="s">
        <v>74</v>
      </c>
      <c r="F324" t="s">
        <v>4833</v>
      </c>
      <c r="G324" t="s">
        <v>74</v>
      </c>
      <c r="H324" t="s">
        <v>74</v>
      </c>
      <c r="I324" t="s">
        <v>4834</v>
      </c>
      <c r="J324" t="s">
        <v>1524</v>
      </c>
      <c r="K324" t="s">
        <v>74</v>
      </c>
      <c r="L324" t="s">
        <v>74</v>
      </c>
      <c r="M324" t="s">
        <v>77</v>
      </c>
      <c r="N324" t="s">
        <v>153</v>
      </c>
      <c r="O324" t="s">
        <v>74</v>
      </c>
      <c r="P324" t="s">
        <v>74</v>
      </c>
      <c r="Q324" t="s">
        <v>74</v>
      </c>
      <c r="R324" t="s">
        <v>74</v>
      </c>
      <c r="S324" t="s">
        <v>74</v>
      </c>
      <c r="T324" t="s">
        <v>4835</v>
      </c>
      <c r="U324" t="s">
        <v>4836</v>
      </c>
      <c r="V324" t="s">
        <v>4837</v>
      </c>
      <c r="W324" t="s">
        <v>4825</v>
      </c>
      <c r="X324" t="s">
        <v>2368</v>
      </c>
      <c r="Y324" t="s">
        <v>4826</v>
      </c>
      <c r="Z324" t="s">
        <v>4827</v>
      </c>
      <c r="AA324" t="s">
        <v>74</v>
      </c>
      <c r="AB324" t="s">
        <v>4828</v>
      </c>
      <c r="AC324" t="s">
        <v>74</v>
      </c>
      <c r="AD324" t="s">
        <v>74</v>
      </c>
      <c r="AE324" t="s">
        <v>74</v>
      </c>
      <c r="AF324" t="s">
        <v>74</v>
      </c>
      <c r="AG324">
        <v>21</v>
      </c>
      <c r="AH324">
        <v>74</v>
      </c>
      <c r="AI324">
        <v>81</v>
      </c>
      <c r="AJ324">
        <v>0</v>
      </c>
      <c r="AK324">
        <v>4</v>
      </c>
      <c r="AL324" t="s">
        <v>161</v>
      </c>
      <c r="AM324" t="s">
        <v>162</v>
      </c>
      <c r="AN324" t="s">
        <v>163</v>
      </c>
      <c r="AO324" t="s">
        <v>1533</v>
      </c>
      <c r="AP324" t="s">
        <v>1534</v>
      </c>
      <c r="AQ324" t="s">
        <v>74</v>
      </c>
      <c r="AR324" t="s">
        <v>1535</v>
      </c>
      <c r="AS324" t="s">
        <v>1536</v>
      </c>
      <c r="AT324" t="s">
        <v>4768</v>
      </c>
      <c r="AU324">
        <v>2002</v>
      </c>
      <c r="AV324">
        <v>107</v>
      </c>
      <c r="AW324" t="s">
        <v>4829</v>
      </c>
      <c r="AX324" t="s">
        <v>74</v>
      </c>
      <c r="AY324" t="s">
        <v>74</v>
      </c>
      <c r="AZ324" t="s">
        <v>74</v>
      </c>
      <c r="BA324" t="s">
        <v>74</v>
      </c>
      <c r="BB324" t="s">
        <v>74</v>
      </c>
      <c r="BC324" t="s">
        <v>74</v>
      </c>
      <c r="BD324">
        <v>3025</v>
      </c>
      <c r="BE324" t="s">
        <v>4838</v>
      </c>
      <c r="BF324" t="str">
        <f>HYPERLINK("http://dx.doi.org/10.1029/2000JC000742","http://dx.doi.org/10.1029/2000JC000742")</f>
        <v>http://dx.doi.org/10.1029/2000JC000742</v>
      </c>
      <c r="BG324" t="s">
        <v>74</v>
      </c>
      <c r="BH324" t="s">
        <v>74</v>
      </c>
      <c r="BI324">
        <v>11</v>
      </c>
      <c r="BJ324" t="s">
        <v>1155</v>
      </c>
      <c r="BK324" t="s">
        <v>170</v>
      </c>
      <c r="BL324" t="s">
        <v>1155</v>
      </c>
      <c r="BM324" t="s">
        <v>4831</v>
      </c>
      <c r="BN324" t="s">
        <v>74</v>
      </c>
      <c r="BO324" t="s">
        <v>665</v>
      </c>
      <c r="BP324" t="s">
        <v>74</v>
      </c>
      <c r="BQ324" t="s">
        <v>74</v>
      </c>
      <c r="BR324" t="s">
        <v>107</v>
      </c>
      <c r="BS324" t="s">
        <v>4839</v>
      </c>
      <c r="BT324" t="str">
        <f>HYPERLINK("https%3A%2F%2Fwww.webofscience.com%2Fwos%2Fwoscc%2Ffull-record%2FWOS:000178922600001","View Full Record in Web of Science")</f>
        <v>View Full Record in Web of Science</v>
      </c>
    </row>
    <row r="325" spans="1:72" x14ac:dyDescent="0.15">
      <c r="A325" t="s">
        <v>72</v>
      </c>
      <c r="B325" t="s">
        <v>4840</v>
      </c>
      <c r="C325" t="s">
        <v>74</v>
      </c>
      <c r="D325" t="s">
        <v>74</v>
      </c>
      <c r="E325" t="s">
        <v>74</v>
      </c>
      <c r="F325" t="s">
        <v>4840</v>
      </c>
      <c r="G325" t="s">
        <v>74</v>
      </c>
      <c r="H325" t="s">
        <v>74</v>
      </c>
      <c r="I325" t="s">
        <v>4841</v>
      </c>
      <c r="J325" t="s">
        <v>1524</v>
      </c>
      <c r="K325" t="s">
        <v>74</v>
      </c>
      <c r="L325" t="s">
        <v>74</v>
      </c>
      <c r="M325" t="s">
        <v>77</v>
      </c>
      <c r="N325" t="s">
        <v>153</v>
      </c>
      <c r="O325" t="s">
        <v>74</v>
      </c>
      <c r="P325" t="s">
        <v>74</v>
      </c>
      <c r="Q325" t="s">
        <v>74</v>
      </c>
      <c r="R325" t="s">
        <v>74</v>
      </c>
      <c r="S325" t="s">
        <v>74</v>
      </c>
      <c r="T325" t="s">
        <v>4842</v>
      </c>
      <c r="U325" t="s">
        <v>4843</v>
      </c>
      <c r="V325" t="s">
        <v>4844</v>
      </c>
      <c r="W325" t="s">
        <v>4845</v>
      </c>
      <c r="X325" t="s">
        <v>4846</v>
      </c>
      <c r="Y325" t="s">
        <v>4847</v>
      </c>
      <c r="Z325" t="s">
        <v>4848</v>
      </c>
      <c r="AA325" t="s">
        <v>4849</v>
      </c>
      <c r="AB325" t="s">
        <v>74</v>
      </c>
      <c r="AC325" t="s">
        <v>74</v>
      </c>
      <c r="AD325" t="s">
        <v>74</v>
      </c>
      <c r="AE325" t="s">
        <v>74</v>
      </c>
      <c r="AF325" t="s">
        <v>74</v>
      </c>
      <c r="AG325">
        <v>32</v>
      </c>
      <c r="AH325">
        <v>1</v>
      </c>
      <c r="AI325">
        <v>1</v>
      </c>
      <c r="AJ325">
        <v>0</v>
      </c>
      <c r="AK325">
        <v>3</v>
      </c>
      <c r="AL325" t="s">
        <v>161</v>
      </c>
      <c r="AM325" t="s">
        <v>162</v>
      </c>
      <c r="AN325" t="s">
        <v>163</v>
      </c>
      <c r="AO325" t="s">
        <v>1533</v>
      </c>
      <c r="AP325" t="s">
        <v>1534</v>
      </c>
      <c r="AQ325" t="s">
        <v>74</v>
      </c>
      <c r="AR325" t="s">
        <v>1535</v>
      </c>
      <c r="AS325" t="s">
        <v>1536</v>
      </c>
      <c r="AT325" t="s">
        <v>4768</v>
      </c>
      <c r="AU325">
        <v>2002</v>
      </c>
      <c r="AV325">
        <v>107</v>
      </c>
      <c r="AW325" t="s">
        <v>4829</v>
      </c>
      <c r="AX325" t="s">
        <v>74</v>
      </c>
      <c r="AY325" t="s">
        <v>74</v>
      </c>
      <c r="AZ325" t="s">
        <v>74</v>
      </c>
      <c r="BA325" t="s">
        <v>74</v>
      </c>
      <c r="BB325" t="s">
        <v>74</v>
      </c>
      <c r="BC325" t="s">
        <v>74</v>
      </c>
      <c r="BD325">
        <v>3018</v>
      </c>
      <c r="BE325" t="s">
        <v>4850</v>
      </c>
      <c r="BF325" t="str">
        <f>HYPERLINK("http://dx.doi.org/10.1029/2000JC000539","http://dx.doi.org/10.1029/2000JC000539")</f>
        <v>http://dx.doi.org/10.1029/2000JC000539</v>
      </c>
      <c r="BG325" t="s">
        <v>74</v>
      </c>
      <c r="BH325" t="s">
        <v>74</v>
      </c>
      <c r="BI325">
        <v>13</v>
      </c>
      <c r="BJ325" t="s">
        <v>1155</v>
      </c>
      <c r="BK325" t="s">
        <v>170</v>
      </c>
      <c r="BL325" t="s">
        <v>1155</v>
      </c>
      <c r="BM325" t="s">
        <v>4831</v>
      </c>
      <c r="BN325" t="s">
        <v>74</v>
      </c>
      <c r="BO325" t="s">
        <v>74</v>
      </c>
      <c r="BP325" t="s">
        <v>74</v>
      </c>
      <c r="BQ325" t="s">
        <v>74</v>
      </c>
      <c r="BR325" t="s">
        <v>107</v>
      </c>
      <c r="BS325" t="s">
        <v>4851</v>
      </c>
      <c r="BT325" t="str">
        <f>HYPERLINK("https%3A%2F%2Fwww.webofscience.com%2Fwos%2Fwoscc%2Ffull-record%2FWOS:000178922600008","View Full Record in Web of Science")</f>
        <v>View Full Record in Web of Science</v>
      </c>
    </row>
    <row r="326" spans="1:72" x14ac:dyDescent="0.15">
      <c r="A326" t="s">
        <v>72</v>
      </c>
      <c r="B326" t="s">
        <v>3464</v>
      </c>
      <c r="C326" t="s">
        <v>74</v>
      </c>
      <c r="D326" t="s">
        <v>74</v>
      </c>
      <c r="E326" t="s">
        <v>74</v>
      </c>
      <c r="F326" t="s">
        <v>3464</v>
      </c>
      <c r="G326" t="s">
        <v>74</v>
      </c>
      <c r="H326" t="s">
        <v>74</v>
      </c>
      <c r="I326" t="s">
        <v>4852</v>
      </c>
      <c r="J326" t="s">
        <v>1524</v>
      </c>
      <c r="K326" t="s">
        <v>74</v>
      </c>
      <c r="L326" t="s">
        <v>74</v>
      </c>
      <c r="M326" t="s">
        <v>77</v>
      </c>
      <c r="N326" t="s">
        <v>153</v>
      </c>
      <c r="O326" t="s">
        <v>74</v>
      </c>
      <c r="P326" t="s">
        <v>74</v>
      </c>
      <c r="Q326" t="s">
        <v>74</v>
      </c>
      <c r="R326" t="s">
        <v>74</v>
      </c>
      <c r="S326" t="s">
        <v>74</v>
      </c>
      <c r="T326" t="s">
        <v>4853</v>
      </c>
      <c r="U326" t="s">
        <v>4854</v>
      </c>
      <c r="V326" t="s">
        <v>4855</v>
      </c>
      <c r="W326" t="s">
        <v>3469</v>
      </c>
      <c r="X326" t="s">
        <v>3470</v>
      </c>
      <c r="Y326" t="s">
        <v>3471</v>
      </c>
      <c r="Z326" t="s">
        <v>3472</v>
      </c>
      <c r="AA326" t="s">
        <v>74</v>
      </c>
      <c r="AB326" t="s">
        <v>74</v>
      </c>
      <c r="AC326" t="s">
        <v>74</v>
      </c>
      <c r="AD326" t="s">
        <v>74</v>
      </c>
      <c r="AE326" t="s">
        <v>74</v>
      </c>
      <c r="AF326" t="s">
        <v>74</v>
      </c>
      <c r="AG326">
        <v>53</v>
      </c>
      <c r="AH326">
        <v>3</v>
      </c>
      <c r="AI326">
        <v>3</v>
      </c>
      <c r="AJ326">
        <v>0</v>
      </c>
      <c r="AK326">
        <v>2</v>
      </c>
      <c r="AL326" t="s">
        <v>161</v>
      </c>
      <c r="AM326" t="s">
        <v>162</v>
      </c>
      <c r="AN326" t="s">
        <v>163</v>
      </c>
      <c r="AO326" t="s">
        <v>1533</v>
      </c>
      <c r="AP326" t="s">
        <v>1534</v>
      </c>
      <c r="AQ326" t="s">
        <v>74</v>
      </c>
      <c r="AR326" t="s">
        <v>1535</v>
      </c>
      <c r="AS326" t="s">
        <v>1536</v>
      </c>
      <c r="AT326" t="s">
        <v>4768</v>
      </c>
      <c r="AU326">
        <v>2002</v>
      </c>
      <c r="AV326">
        <v>107</v>
      </c>
      <c r="AW326" t="s">
        <v>4829</v>
      </c>
      <c r="AX326" t="s">
        <v>74</v>
      </c>
      <c r="AY326" t="s">
        <v>74</v>
      </c>
      <c r="AZ326" t="s">
        <v>74</v>
      </c>
      <c r="BA326" t="s">
        <v>74</v>
      </c>
      <c r="BB326" t="s">
        <v>74</v>
      </c>
      <c r="BC326" t="s">
        <v>74</v>
      </c>
      <c r="BD326">
        <v>3023</v>
      </c>
      <c r="BE326" t="s">
        <v>4856</v>
      </c>
      <c r="BF326" t="str">
        <f>HYPERLINK("http://dx.doi.org/10.1029/2000JC000520","http://dx.doi.org/10.1029/2000JC000520")</f>
        <v>http://dx.doi.org/10.1029/2000JC000520</v>
      </c>
      <c r="BG326" t="s">
        <v>74</v>
      </c>
      <c r="BH326" t="s">
        <v>74</v>
      </c>
      <c r="BI326">
        <v>26</v>
      </c>
      <c r="BJ326" t="s">
        <v>1155</v>
      </c>
      <c r="BK326" t="s">
        <v>170</v>
      </c>
      <c r="BL326" t="s">
        <v>1155</v>
      </c>
      <c r="BM326" t="s">
        <v>4831</v>
      </c>
      <c r="BN326" t="s">
        <v>74</v>
      </c>
      <c r="BO326" t="s">
        <v>74</v>
      </c>
      <c r="BP326" t="s">
        <v>74</v>
      </c>
      <c r="BQ326" t="s">
        <v>74</v>
      </c>
      <c r="BR326" t="s">
        <v>107</v>
      </c>
      <c r="BS326" t="s">
        <v>4857</v>
      </c>
      <c r="BT326" t="str">
        <f>HYPERLINK("https%3A%2F%2Fwww.webofscience.com%2Fwos%2Fwoscc%2Ffull-record%2FWOS:000178922600003","View Full Record in Web of Science")</f>
        <v>View Full Record in Web of Science</v>
      </c>
    </row>
    <row r="327" spans="1:72" x14ac:dyDescent="0.15">
      <c r="A327" t="s">
        <v>72</v>
      </c>
      <c r="B327" t="s">
        <v>4858</v>
      </c>
      <c r="C327" t="s">
        <v>74</v>
      </c>
      <c r="D327" t="s">
        <v>74</v>
      </c>
      <c r="E327" t="s">
        <v>74</v>
      </c>
      <c r="F327" t="s">
        <v>4858</v>
      </c>
      <c r="G327" t="s">
        <v>74</v>
      </c>
      <c r="H327" t="s">
        <v>74</v>
      </c>
      <c r="I327" t="s">
        <v>4859</v>
      </c>
      <c r="J327" t="s">
        <v>2137</v>
      </c>
      <c r="K327" t="s">
        <v>74</v>
      </c>
      <c r="L327" t="s">
        <v>74</v>
      </c>
      <c r="M327" t="s">
        <v>77</v>
      </c>
      <c r="N327" t="s">
        <v>153</v>
      </c>
      <c r="O327" t="s">
        <v>74</v>
      </c>
      <c r="P327" t="s">
        <v>74</v>
      </c>
      <c r="Q327" t="s">
        <v>74</v>
      </c>
      <c r="R327" t="s">
        <v>74</v>
      </c>
      <c r="S327" t="s">
        <v>74</v>
      </c>
      <c r="T327" t="s">
        <v>4860</v>
      </c>
      <c r="U327" t="s">
        <v>4861</v>
      </c>
      <c r="V327" t="s">
        <v>4862</v>
      </c>
      <c r="W327" t="s">
        <v>4863</v>
      </c>
      <c r="X327" t="s">
        <v>4864</v>
      </c>
      <c r="Y327" t="s">
        <v>4865</v>
      </c>
      <c r="Z327" t="s">
        <v>74</v>
      </c>
      <c r="AA327" t="s">
        <v>74</v>
      </c>
      <c r="AB327" t="s">
        <v>4866</v>
      </c>
      <c r="AC327" t="s">
        <v>74</v>
      </c>
      <c r="AD327" t="s">
        <v>74</v>
      </c>
      <c r="AE327" t="s">
        <v>74</v>
      </c>
      <c r="AF327" t="s">
        <v>74</v>
      </c>
      <c r="AG327">
        <v>24</v>
      </c>
      <c r="AH327">
        <v>23</v>
      </c>
      <c r="AI327">
        <v>25</v>
      </c>
      <c r="AJ327">
        <v>0</v>
      </c>
      <c r="AK327">
        <v>2</v>
      </c>
      <c r="AL327" t="s">
        <v>132</v>
      </c>
      <c r="AM327" t="s">
        <v>91</v>
      </c>
      <c r="AN327" t="s">
        <v>133</v>
      </c>
      <c r="AO327" t="s">
        <v>2150</v>
      </c>
      <c r="AP327" t="s">
        <v>74</v>
      </c>
      <c r="AQ327" t="s">
        <v>74</v>
      </c>
      <c r="AR327" t="s">
        <v>2137</v>
      </c>
      <c r="AS327" t="s">
        <v>2152</v>
      </c>
      <c r="AT327" t="s">
        <v>4768</v>
      </c>
      <c r="AU327">
        <v>2002</v>
      </c>
      <c r="AV327">
        <v>346</v>
      </c>
      <c r="AW327" t="s">
        <v>436</v>
      </c>
      <c r="AX327" t="s">
        <v>74</v>
      </c>
      <c r="AY327" t="s">
        <v>74</v>
      </c>
      <c r="AZ327" t="s">
        <v>74</v>
      </c>
      <c r="BA327" t="s">
        <v>74</v>
      </c>
      <c r="BB327">
        <v>187</v>
      </c>
      <c r="BC327">
        <v>200</v>
      </c>
      <c r="BD327" t="s">
        <v>4867</v>
      </c>
      <c r="BE327" t="s">
        <v>4868</v>
      </c>
      <c r="BF327" t="str">
        <f>HYPERLINK("http://dx.doi.org/10.1016/S0040-1951(01)00281-5","http://dx.doi.org/10.1016/S0040-1951(01)00281-5")</f>
        <v>http://dx.doi.org/10.1016/S0040-1951(01)00281-5</v>
      </c>
      <c r="BG327" t="s">
        <v>74</v>
      </c>
      <c r="BH327" t="s">
        <v>74</v>
      </c>
      <c r="BI327">
        <v>14</v>
      </c>
      <c r="BJ327" t="s">
        <v>556</v>
      </c>
      <c r="BK327" t="s">
        <v>170</v>
      </c>
      <c r="BL327" t="s">
        <v>556</v>
      </c>
      <c r="BM327" t="s">
        <v>4869</v>
      </c>
      <c r="BN327" t="s">
        <v>74</v>
      </c>
      <c r="BO327" t="s">
        <v>74</v>
      </c>
      <c r="BP327" t="s">
        <v>74</v>
      </c>
      <c r="BQ327" t="s">
        <v>74</v>
      </c>
      <c r="BR327" t="s">
        <v>107</v>
      </c>
      <c r="BS327" t="s">
        <v>4870</v>
      </c>
      <c r="BT327" t="str">
        <f>HYPERLINK("https%3A%2F%2Fwww.webofscience.com%2Fwos%2Fwoscc%2Ffull-record%2FWOS:000175970800004","View Full Record in Web of Science")</f>
        <v>View Full Record in Web of Science</v>
      </c>
    </row>
    <row r="328" spans="1:72" x14ac:dyDescent="0.15">
      <c r="A328" t="s">
        <v>72</v>
      </c>
      <c r="B328" t="s">
        <v>4871</v>
      </c>
      <c r="C328" t="s">
        <v>74</v>
      </c>
      <c r="D328" t="s">
        <v>74</v>
      </c>
      <c r="E328" t="s">
        <v>74</v>
      </c>
      <c r="F328" t="s">
        <v>4871</v>
      </c>
      <c r="G328" t="s">
        <v>74</v>
      </c>
      <c r="H328" t="s">
        <v>74</v>
      </c>
      <c r="I328" t="s">
        <v>4872</v>
      </c>
      <c r="J328" t="s">
        <v>4873</v>
      </c>
      <c r="K328" t="s">
        <v>74</v>
      </c>
      <c r="L328" t="s">
        <v>74</v>
      </c>
      <c r="M328" t="s">
        <v>77</v>
      </c>
      <c r="N328" t="s">
        <v>153</v>
      </c>
      <c r="O328" t="s">
        <v>74</v>
      </c>
      <c r="P328" t="s">
        <v>74</v>
      </c>
      <c r="Q328" t="s">
        <v>74</v>
      </c>
      <c r="R328" t="s">
        <v>74</v>
      </c>
      <c r="S328" t="s">
        <v>74</v>
      </c>
      <c r="T328" t="s">
        <v>4874</v>
      </c>
      <c r="U328" t="s">
        <v>4875</v>
      </c>
      <c r="V328" t="s">
        <v>4876</v>
      </c>
      <c r="W328" t="s">
        <v>4877</v>
      </c>
      <c r="X328" t="s">
        <v>4878</v>
      </c>
      <c r="Y328" t="s">
        <v>4879</v>
      </c>
      <c r="Z328" t="s">
        <v>4880</v>
      </c>
      <c r="AA328" t="s">
        <v>74</v>
      </c>
      <c r="AB328" t="s">
        <v>4881</v>
      </c>
      <c r="AC328" t="s">
        <v>74</v>
      </c>
      <c r="AD328" t="s">
        <v>74</v>
      </c>
      <c r="AE328" t="s">
        <v>74</v>
      </c>
      <c r="AF328" t="s">
        <v>74</v>
      </c>
      <c r="AG328">
        <v>35</v>
      </c>
      <c r="AH328">
        <v>11</v>
      </c>
      <c r="AI328">
        <v>12</v>
      </c>
      <c r="AJ328">
        <v>0</v>
      </c>
      <c r="AK328">
        <v>2</v>
      </c>
      <c r="AL328" t="s">
        <v>394</v>
      </c>
      <c r="AM328" t="s">
        <v>395</v>
      </c>
      <c r="AN328" t="s">
        <v>396</v>
      </c>
      <c r="AO328" t="s">
        <v>4882</v>
      </c>
      <c r="AP328" t="s">
        <v>4883</v>
      </c>
      <c r="AQ328" t="s">
        <v>74</v>
      </c>
      <c r="AR328" t="s">
        <v>4884</v>
      </c>
      <c r="AS328" t="s">
        <v>4885</v>
      </c>
      <c r="AT328" t="s">
        <v>4886</v>
      </c>
      <c r="AU328">
        <v>2002</v>
      </c>
      <c r="AV328">
        <v>514</v>
      </c>
      <c r="AW328" t="s">
        <v>3422</v>
      </c>
      <c r="AX328" t="s">
        <v>74</v>
      </c>
      <c r="AY328" t="s">
        <v>74</v>
      </c>
      <c r="AZ328" t="s">
        <v>74</v>
      </c>
      <c r="BA328" t="s">
        <v>74</v>
      </c>
      <c r="BB328">
        <v>329</v>
      </c>
      <c r="BC328">
        <v>332</v>
      </c>
      <c r="BD328" t="s">
        <v>4887</v>
      </c>
      <c r="BE328" t="s">
        <v>4888</v>
      </c>
      <c r="BF328" t="str">
        <f>HYPERLINK("http://dx.doi.org/10.1016/S0014-5793(02)02393-1","http://dx.doi.org/10.1016/S0014-5793(02)02393-1")</f>
        <v>http://dx.doi.org/10.1016/S0014-5793(02)02393-1</v>
      </c>
      <c r="BG328" t="s">
        <v>74</v>
      </c>
      <c r="BH328" t="s">
        <v>74</v>
      </c>
      <c r="BI328">
        <v>4</v>
      </c>
      <c r="BJ328" t="s">
        <v>4889</v>
      </c>
      <c r="BK328" t="s">
        <v>170</v>
      </c>
      <c r="BL328" t="s">
        <v>4889</v>
      </c>
      <c r="BM328" t="s">
        <v>4890</v>
      </c>
      <c r="BN328">
        <v>11943175</v>
      </c>
      <c r="BO328" t="s">
        <v>74</v>
      </c>
      <c r="BP328" t="s">
        <v>74</v>
      </c>
      <c r="BQ328" t="s">
        <v>74</v>
      </c>
      <c r="BR328" t="s">
        <v>107</v>
      </c>
      <c r="BS328" t="s">
        <v>4891</v>
      </c>
      <c r="BT328" t="str">
        <f>HYPERLINK("https%3A%2F%2Fwww.webofscience.com%2Fwos%2Fwoscc%2Ffull-record%2FWOS:000175022400041","View Full Record in Web of Science")</f>
        <v>View Full Record in Web of Science</v>
      </c>
    </row>
    <row r="329" spans="1:72" x14ac:dyDescent="0.15">
      <c r="A329" t="s">
        <v>72</v>
      </c>
      <c r="B329" t="s">
        <v>4892</v>
      </c>
      <c r="C329" t="s">
        <v>74</v>
      </c>
      <c r="D329" t="s">
        <v>74</v>
      </c>
      <c r="E329" t="s">
        <v>74</v>
      </c>
      <c r="F329" t="s">
        <v>4892</v>
      </c>
      <c r="G329" t="s">
        <v>74</v>
      </c>
      <c r="H329" t="s">
        <v>74</v>
      </c>
      <c r="I329" t="s">
        <v>4893</v>
      </c>
      <c r="J329" t="s">
        <v>646</v>
      </c>
      <c r="K329" t="s">
        <v>74</v>
      </c>
      <c r="L329" t="s">
        <v>74</v>
      </c>
      <c r="M329" t="s">
        <v>77</v>
      </c>
      <c r="N329" t="s">
        <v>153</v>
      </c>
      <c r="O329" t="s">
        <v>74</v>
      </c>
      <c r="P329" t="s">
        <v>74</v>
      </c>
      <c r="Q329" t="s">
        <v>74</v>
      </c>
      <c r="R329" t="s">
        <v>74</v>
      </c>
      <c r="S329" t="s">
        <v>74</v>
      </c>
      <c r="T329" t="s">
        <v>74</v>
      </c>
      <c r="U329" t="s">
        <v>4894</v>
      </c>
      <c r="V329" t="s">
        <v>4895</v>
      </c>
      <c r="W329" t="s">
        <v>4896</v>
      </c>
      <c r="X329" t="s">
        <v>4897</v>
      </c>
      <c r="Y329" t="s">
        <v>4898</v>
      </c>
      <c r="Z329" t="s">
        <v>74</v>
      </c>
      <c r="AA329" t="s">
        <v>4899</v>
      </c>
      <c r="AB329" t="s">
        <v>4900</v>
      </c>
      <c r="AC329" t="s">
        <v>74</v>
      </c>
      <c r="AD329" t="s">
        <v>74</v>
      </c>
      <c r="AE329" t="s">
        <v>74</v>
      </c>
      <c r="AF329" t="s">
        <v>74</v>
      </c>
      <c r="AG329">
        <v>26</v>
      </c>
      <c r="AH329">
        <v>207</v>
      </c>
      <c r="AI329">
        <v>225</v>
      </c>
      <c r="AJ329">
        <v>3</v>
      </c>
      <c r="AK329">
        <v>80</v>
      </c>
      <c r="AL329" t="s">
        <v>655</v>
      </c>
      <c r="AM329" t="s">
        <v>162</v>
      </c>
      <c r="AN329" t="s">
        <v>656</v>
      </c>
      <c r="AO329" t="s">
        <v>657</v>
      </c>
      <c r="AP329" t="s">
        <v>74</v>
      </c>
      <c r="AQ329" t="s">
        <v>74</v>
      </c>
      <c r="AR329" t="s">
        <v>646</v>
      </c>
      <c r="AS329" t="s">
        <v>659</v>
      </c>
      <c r="AT329" t="s">
        <v>4901</v>
      </c>
      <c r="AU329">
        <v>2002</v>
      </c>
      <c r="AV329">
        <v>295</v>
      </c>
      <c r="AW329">
        <v>5561</v>
      </c>
      <c r="AX329" t="s">
        <v>74</v>
      </c>
      <c r="AY329" t="s">
        <v>74</v>
      </c>
      <c r="AZ329" t="s">
        <v>74</v>
      </c>
      <c r="BA329" t="s">
        <v>74</v>
      </c>
      <c r="BB329">
        <v>1890</v>
      </c>
      <c r="BC329">
        <v>1892</v>
      </c>
      <c r="BD329" t="s">
        <v>74</v>
      </c>
      <c r="BE329" t="s">
        <v>4902</v>
      </c>
      <c r="BF329" t="str">
        <f>HYPERLINK("http://dx.doi.org/10.1126/science.1068574","http://dx.doi.org/10.1126/science.1068574")</f>
        <v>http://dx.doi.org/10.1126/science.1068574</v>
      </c>
      <c r="BG329" t="s">
        <v>74</v>
      </c>
      <c r="BH329" t="s">
        <v>74</v>
      </c>
      <c r="BI329">
        <v>3</v>
      </c>
      <c r="BJ329" t="s">
        <v>662</v>
      </c>
      <c r="BK329" t="s">
        <v>170</v>
      </c>
      <c r="BL329" t="s">
        <v>663</v>
      </c>
      <c r="BM329" t="s">
        <v>4903</v>
      </c>
      <c r="BN329">
        <v>11884754</v>
      </c>
      <c r="BO329" t="s">
        <v>74</v>
      </c>
      <c r="BP329" t="s">
        <v>74</v>
      </c>
      <c r="BQ329" t="s">
        <v>74</v>
      </c>
      <c r="BR329" t="s">
        <v>107</v>
      </c>
      <c r="BS329" t="s">
        <v>4904</v>
      </c>
      <c r="BT329" t="str">
        <f>HYPERLINK("https%3A%2F%2Fwww.webofscience.com%2Fwos%2Fwoscc%2Ffull-record%2FWOS:000174299500038","View Full Record in Web of Science")</f>
        <v>View Full Record in Web of Science</v>
      </c>
    </row>
    <row r="330" spans="1:72" x14ac:dyDescent="0.15">
      <c r="A330" t="s">
        <v>72</v>
      </c>
      <c r="B330" t="s">
        <v>4905</v>
      </c>
      <c r="C330" t="s">
        <v>74</v>
      </c>
      <c r="D330" t="s">
        <v>74</v>
      </c>
      <c r="E330" t="s">
        <v>74</v>
      </c>
      <c r="F330" t="s">
        <v>4905</v>
      </c>
      <c r="G330" t="s">
        <v>74</v>
      </c>
      <c r="H330" t="s">
        <v>74</v>
      </c>
      <c r="I330" t="s">
        <v>4906</v>
      </c>
      <c r="J330" t="s">
        <v>4907</v>
      </c>
      <c r="K330" t="s">
        <v>74</v>
      </c>
      <c r="L330" t="s">
        <v>74</v>
      </c>
      <c r="M330" t="s">
        <v>77</v>
      </c>
      <c r="N330" t="s">
        <v>153</v>
      </c>
      <c r="O330" t="s">
        <v>74</v>
      </c>
      <c r="P330" t="s">
        <v>74</v>
      </c>
      <c r="Q330" t="s">
        <v>74</v>
      </c>
      <c r="R330" t="s">
        <v>74</v>
      </c>
      <c r="S330" t="s">
        <v>74</v>
      </c>
      <c r="T330" t="s">
        <v>74</v>
      </c>
      <c r="U330" t="s">
        <v>4908</v>
      </c>
      <c r="V330" t="s">
        <v>4909</v>
      </c>
      <c r="W330" t="s">
        <v>4910</v>
      </c>
      <c r="X330" t="s">
        <v>4911</v>
      </c>
      <c r="Y330" t="s">
        <v>4912</v>
      </c>
      <c r="Z330" t="s">
        <v>74</v>
      </c>
      <c r="AA330" t="s">
        <v>4913</v>
      </c>
      <c r="AB330" t="s">
        <v>74</v>
      </c>
      <c r="AC330" t="s">
        <v>74</v>
      </c>
      <c r="AD330" t="s">
        <v>74</v>
      </c>
      <c r="AE330" t="s">
        <v>74</v>
      </c>
      <c r="AF330" t="s">
        <v>74</v>
      </c>
      <c r="AG330">
        <v>30</v>
      </c>
      <c r="AH330">
        <v>4</v>
      </c>
      <c r="AI330">
        <v>4</v>
      </c>
      <c r="AJ330">
        <v>0</v>
      </c>
      <c r="AK330">
        <v>6</v>
      </c>
      <c r="AL330" t="s">
        <v>132</v>
      </c>
      <c r="AM330" t="s">
        <v>91</v>
      </c>
      <c r="AN330" t="s">
        <v>133</v>
      </c>
      <c r="AO330" t="s">
        <v>4914</v>
      </c>
      <c r="AP330" t="s">
        <v>74</v>
      </c>
      <c r="AQ330" t="s">
        <v>74</v>
      </c>
      <c r="AR330" t="s">
        <v>4915</v>
      </c>
      <c r="AS330" t="s">
        <v>4916</v>
      </c>
      <c r="AT330" t="s">
        <v>4917</v>
      </c>
      <c r="AU330">
        <v>2002</v>
      </c>
      <c r="AV330">
        <v>354</v>
      </c>
      <c r="AW330" t="s">
        <v>98</v>
      </c>
      <c r="AX330" t="s">
        <v>74</v>
      </c>
      <c r="AY330" t="s">
        <v>74</v>
      </c>
      <c r="AZ330" t="s">
        <v>74</v>
      </c>
      <c r="BA330" t="s">
        <v>74</v>
      </c>
      <c r="BB330">
        <v>120</v>
      </c>
      <c r="BC330">
        <v>127</v>
      </c>
      <c r="BD330" t="s">
        <v>4918</v>
      </c>
      <c r="BE330" t="s">
        <v>4919</v>
      </c>
      <c r="BF330" t="str">
        <f>HYPERLINK("http://dx.doi.org/10.1016/S0009-2614(02)00120-3","http://dx.doi.org/10.1016/S0009-2614(02)00120-3")</f>
        <v>http://dx.doi.org/10.1016/S0009-2614(02)00120-3</v>
      </c>
      <c r="BG330" t="s">
        <v>74</v>
      </c>
      <c r="BH330" t="s">
        <v>74</v>
      </c>
      <c r="BI330">
        <v>8</v>
      </c>
      <c r="BJ330" t="s">
        <v>588</v>
      </c>
      <c r="BK330" t="s">
        <v>170</v>
      </c>
      <c r="BL330" t="s">
        <v>589</v>
      </c>
      <c r="BM330" t="s">
        <v>4920</v>
      </c>
      <c r="BN330" t="s">
        <v>74</v>
      </c>
      <c r="BO330" t="s">
        <v>74</v>
      </c>
      <c r="BP330" t="s">
        <v>74</v>
      </c>
      <c r="BQ330" t="s">
        <v>74</v>
      </c>
      <c r="BR330" t="s">
        <v>107</v>
      </c>
      <c r="BS330" t="s">
        <v>4921</v>
      </c>
      <c r="BT330" t="str">
        <f>HYPERLINK("https%3A%2F%2Fwww.webofscience.com%2Fwos%2Fwoscc%2Ffull-record%2FWOS:000174628600019","View Full Record in Web of Science")</f>
        <v>View Full Record in Web of Science</v>
      </c>
    </row>
    <row r="331" spans="1:72" x14ac:dyDescent="0.15">
      <c r="A331" t="s">
        <v>72</v>
      </c>
      <c r="B331" t="s">
        <v>4922</v>
      </c>
      <c r="C331" t="s">
        <v>74</v>
      </c>
      <c r="D331" t="s">
        <v>74</v>
      </c>
      <c r="E331" t="s">
        <v>74</v>
      </c>
      <c r="F331" t="s">
        <v>4922</v>
      </c>
      <c r="G331" t="s">
        <v>74</v>
      </c>
      <c r="H331" t="s">
        <v>74</v>
      </c>
      <c r="I331" t="s">
        <v>4923</v>
      </c>
      <c r="J331" t="s">
        <v>669</v>
      </c>
      <c r="K331" t="s">
        <v>74</v>
      </c>
      <c r="L331" t="s">
        <v>74</v>
      </c>
      <c r="M331" t="s">
        <v>77</v>
      </c>
      <c r="N331" t="s">
        <v>153</v>
      </c>
      <c r="O331" t="s">
        <v>74</v>
      </c>
      <c r="P331" t="s">
        <v>74</v>
      </c>
      <c r="Q331" t="s">
        <v>74</v>
      </c>
      <c r="R331" t="s">
        <v>74</v>
      </c>
      <c r="S331" t="s">
        <v>74</v>
      </c>
      <c r="T331" t="s">
        <v>74</v>
      </c>
      <c r="U331" t="s">
        <v>4924</v>
      </c>
      <c r="V331" t="s">
        <v>4925</v>
      </c>
      <c r="W331" t="s">
        <v>4926</v>
      </c>
      <c r="X331" t="s">
        <v>4927</v>
      </c>
      <c r="Y331" t="s">
        <v>4928</v>
      </c>
      <c r="Z331" t="s">
        <v>74</v>
      </c>
      <c r="AA331" t="s">
        <v>74</v>
      </c>
      <c r="AB331" t="s">
        <v>74</v>
      </c>
      <c r="AC331" t="s">
        <v>74</v>
      </c>
      <c r="AD331" t="s">
        <v>74</v>
      </c>
      <c r="AE331" t="s">
        <v>74</v>
      </c>
      <c r="AF331" t="s">
        <v>74</v>
      </c>
      <c r="AG331">
        <v>29</v>
      </c>
      <c r="AH331">
        <v>28</v>
      </c>
      <c r="AI331">
        <v>30</v>
      </c>
      <c r="AJ331">
        <v>2</v>
      </c>
      <c r="AK331">
        <v>9</v>
      </c>
      <c r="AL331" t="s">
        <v>678</v>
      </c>
      <c r="AM331" t="s">
        <v>162</v>
      </c>
      <c r="AN331" t="s">
        <v>679</v>
      </c>
      <c r="AO331" t="s">
        <v>680</v>
      </c>
      <c r="AP331" t="s">
        <v>74</v>
      </c>
      <c r="AQ331" t="s">
        <v>74</v>
      </c>
      <c r="AR331" t="s">
        <v>681</v>
      </c>
      <c r="AS331" t="s">
        <v>682</v>
      </c>
      <c r="AT331" t="s">
        <v>4917</v>
      </c>
      <c r="AU331">
        <v>2002</v>
      </c>
      <c r="AV331">
        <v>99</v>
      </c>
      <c r="AW331">
        <v>5</v>
      </c>
      <c r="AX331" t="s">
        <v>74</v>
      </c>
      <c r="AY331" t="s">
        <v>74</v>
      </c>
      <c r="AZ331" t="s">
        <v>74</v>
      </c>
      <c r="BA331" t="s">
        <v>74</v>
      </c>
      <c r="BB331">
        <v>2609</v>
      </c>
      <c r="BC331">
        <v>2612</v>
      </c>
      <c r="BD331" t="s">
        <v>74</v>
      </c>
      <c r="BE331" t="s">
        <v>4929</v>
      </c>
      <c r="BF331" t="str">
        <f>HYPERLINK("http://dx.doi.org/10.1073/pnas.052518199","http://dx.doi.org/10.1073/pnas.052518199")</f>
        <v>http://dx.doi.org/10.1073/pnas.052518199</v>
      </c>
      <c r="BG331" t="s">
        <v>74</v>
      </c>
      <c r="BH331" t="s">
        <v>74</v>
      </c>
      <c r="BI331">
        <v>4</v>
      </c>
      <c r="BJ331" t="s">
        <v>662</v>
      </c>
      <c r="BK331" t="s">
        <v>170</v>
      </c>
      <c r="BL331" t="s">
        <v>663</v>
      </c>
      <c r="BM331" t="s">
        <v>4930</v>
      </c>
      <c r="BN331">
        <v>11854461</v>
      </c>
      <c r="BO331" t="s">
        <v>106</v>
      </c>
      <c r="BP331" t="s">
        <v>74</v>
      </c>
      <c r="BQ331" t="s">
        <v>74</v>
      </c>
      <c r="BR331" t="s">
        <v>107</v>
      </c>
      <c r="BS331" t="s">
        <v>4931</v>
      </c>
      <c r="BT331" t="str">
        <f>HYPERLINK("https%3A%2F%2Fwww.webofscience.com%2Fwos%2Fwoscc%2Ffull-record%2FWOS:000174284600007","View Full Record in Web of Science")</f>
        <v>View Full Record in Web of Science</v>
      </c>
    </row>
    <row r="332" spans="1:72" x14ac:dyDescent="0.15">
      <c r="A332" t="s">
        <v>72</v>
      </c>
      <c r="B332" t="s">
        <v>4932</v>
      </c>
      <c r="C332" t="s">
        <v>74</v>
      </c>
      <c r="D332" t="s">
        <v>74</v>
      </c>
      <c r="E332" t="s">
        <v>74</v>
      </c>
      <c r="F332" t="s">
        <v>4932</v>
      </c>
      <c r="G332" t="s">
        <v>74</v>
      </c>
      <c r="H332" t="s">
        <v>74</v>
      </c>
      <c r="I332" t="s">
        <v>4933</v>
      </c>
      <c r="J332" t="s">
        <v>4934</v>
      </c>
      <c r="K332" t="s">
        <v>74</v>
      </c>
      <c r="L332" t="s">
        <v>74</v>
      </c>
      <c r="M332" t="s">
        <v>77</v>
      </c>
      <c r="N332" t="s">
        <v>78</v>
      </c>
      <c r="O332" t="s">
        <v>4935</v>
      </c>
      <c r="P332" t="s">
        <v>4936</v>
      </c>
      <c r="Q332" t="s">
        <v>4937</v>
      </c>
      <c r="R332" t="s">
        <v>74</v>
      </c>
      <c r="S332" t="s">
        <v>74</v>
      </c>
      <c r="T332" t="s">
        <v>4938</v>
      </c>
      <c r="U332" t="s">
        <v>4939</v>
      </c>
      <c r="V332" t="s">
        <v>4940</v>
      </c>
      <c r="W332" t="s">
        <v>4941</v>
      </c>
      <c r="X332" t="s">
        <v>4942</v>
      </c>
      <c r="Y332" t="s">
        <v>4943</v>
      </c>
      <c r="Z332" t="s">
        <v>3783</v>
      </c>
      <c r="AA332" t="s">
        <v>4944</v>
      </c>
      <c r="AB332" t="s">
        <v>4945</v>
      </c>
      <c r="AC332" t="s">
        <v>74</v>
      </c>
      <c r="AD332" t="s">
        <v>74</v>
      </c>
      <c r="AE332" t="s">
        <v>74</v>
      </c>
      <c r="AF332" t="s">
        <v>74</v>
      </c>
      <c r="AG332">
        <v>119</v>
      </c>
      <c r="AH332">
        <v>50</v>
      </c>
      <c r="AI332">
        <v>51</v>
      </c>
      <c r="AJ332">
        <v>1</v>
      </c>
      <c r="AK332">
        <v>31</v>
      </c>
      <c r="AL332" t="s">
        <v>4946</v>
      </c>
      <c r="AM332" t="s">
        <v>4947</v>
      </c>
      <c r="AN332" t="s">
        <v>4948</v>
      </c>
      <c r="AO332" t="s">
        <v>4949</v>
      </c>
      <c r="AP332" t="s">
        <v>4950</v>
      </c>
      <c r="AQ332" t="s">
        <v>74</v>
      </c>
      <c r="AR332" t="s">
        <v>4951</v>
      </c>
      <c r="AS332" t="s">
        <v>4952</v>
      </c>
      <c r="AT332" t="s">
        <v>4953</v>
      </c>
      <c r="AU332">
        <v>2002</v>
      </c>
      <c r="AV332">
        <v>10</v>
      </c>
      <c r="AW332">
        <v>1</v>
      </c>
      <c r="AX332" t="s">
        <v>74</v>
      </c>
      <c r="AY332" t="s">
        <v>74</v>
      </c>
      <c r="AZ332" t="s">
        <v>74</v>
      </c>
      <c r="BA332" t="s">
        <v>74</v>
      </c>
      <c r="BB332">
        <v>67</v>
      </c>
      <c r="BC332">
        <v>82</v>
      </c>
      <c r="BD332" t="s">
        <v>74</v>
      </c>
      <c r="BE332" t="s">
        <v>74</v>
      </c>
      <c r="BF332" t="s">
        <v>74</v>
      </c>
      <c r="BG332" t="s">
        <v>74</v>
      </c>
      <c r="BH332" t="s">
        <v>74</v>
      </c>
      <c r="BI332">
        <v>16</v>
      </c>
      <c r="BJ332" t="s">
        <v>903</v>
      </c>
      <c r="BK332" t="s">
        <v>103</v>
      </c>
      <c r="BL332" t="s">
        <v>903</v>
      </c>
      <c r="BM332" t="s">
        <v>4954</v>
      </c>
      <c r="BN332" t="s">
        <v>74</v>
      </c>
      <c r="BO332" t="s">
        <v>74</v>
      </c>
      <c r="BP332" t="s">
        <v>74</v>
      </c>
      <c r="BQ332" t="s">
        <v>74</v>
      </c>
      <c r="BR332" t="s">
        <v>107</v>
      </c>
      <c r="BS332" t="s">
        <v>4955</v>
      </c>
      <c r="BT332" t="str">
        <f>HYPERLINK("https%3A%2F%2Fwww.webofscience.com%2Fwos%2Fwoscc%2Ffull-record%2FWOS:000176247000007","View Full Record in Web of Science")</f>
        <v>View Full Record in Web of Science</v>
      </c>
    </row>
    <row r="333" spans="1:72" x14ac:dyDescent="0.15">
      <c r="A333" t="s">
        <v>72</v>
      </c>
      <c r="B333" t="s">
        <v>4956</v>
      </c>
      <c r="C333" t="s">
        <v>74</v>
      </c>
      <c r="D333" t="s">
        <v>74</v>
      </c>
      <c r="E333" t="s">
        <v>74</v>
      </c>
      <c r="F333" t="s">
        <v>4956</v>
      </c>
      <c r="G333" t="s">
        <v>74</v>
      </c>
      <c r="H333" t="s">
        <v>74</v>
      </c>
      <c r="I333" t="s">
        <v>4957</v>
      </c>
      <c r="J333" t="s">
        <v>4934</v>
      </c>
      <c r="K333" t="s">
        <v>74</v>
      </c>
      <c r="L333" t="s">
        <v>74</v>
      </c>
      <c r="M333" t="s">
        <v>77</v>
      </c>
      <c r="N333" t="s">
        <v>78</v>
      </c>
      <c r="O333" t="s">
        <v>4935</v>
      </c>
      <c r="P333" t="s">
        <v>4936</v>
      </c>
      <c r="Q333" t="s">
        <v>4937</v>
      </c>
      <c r="R333" t="s">
        <v>74</v>
      </c>
      <c r="S333" t="s">
        <v>74</v>
      </c>
      <c r="T333" t="s">
        <v>4958</v>
      </c>
      <c r="U333" t="s">
        <v>4959</v>
      </c>
      <c r="V333" t="s">
        <v>4960</v>
      </c>
      <c r="W333" t="s">
        <v>4961</v>
      </c>
      <c r="X333" t="s">
        <v>4962</v>
      </c>
      <c r="Y333" t="s">
        <v>4963</v>
      </c>
      <c r="Z333" t="s">
        <v>4964</v>
      </c>
      <c r="AA333" t="s">
        <v>4965</v>
      </c>
      <c r="AB333" t="s">
        <v>74</v>
      </c>
      <c r="AC333" t="s">
        <v>74</v>
      </c>
      <c r="AD333" t="s">
        <v>74</v>
      </c>
      <c r="AE333" t="s">
        <v>74</v>
      </c>
      <c r="AF333" t="s">
        <v>74</v>
      </c>
      <c r="AG333">
        <v>59</v>
      </c>
      <c r="AH333">
        <v>11</v>
      </c>
      <c r="AI333">
        <v>11</v>
      </c>
      <c r="AJ333">
        <v>2</v>
      </c>
      <c r="AK333">
        <v>12</v>
      </c>
      <c r="AL333" t="s">
        <v>4946</v>
      </c>
      <c r="AM333" t="s">
        <v>4947</v>
      </c>
      <c r="AN333" t="s">
        <v>4948</v>
      </c>
      <c r="AO333" t="s">
        <v>4949</v>
      </c>
      <c r="AP333" t="s">
        <v>4950</v>
      </c>
      <c r="AQ333" t="s">
        <v>74</v>
      </c>
      <c r="AR333" t="s">
        <v>4951</v>
      </c>
      <c r="AS333" t="s">
        <v>4952</v>
      </c>
      <c r="AT333" t="s">
        <v>4953</v>
      </c>
      <c r="AU333">
        <v>2002</v>
      </c>
      <c r="AV333">
        <v>10</v>
      </c>
      <c r="AW333">
        <v>1</v>
      </c>
      <c r="AX333" t="s">
        <v>74</v>
      </c>
      <c r="AY333" t="s">
        <v>74</v>
      </c>
      <c r="AZ333" t="s">
        <v>74</v>
      </c>
      <c r="BA333" t="s">
        <v>74</v>
      </c>
      <c r="BB333">
        <v>83</v>
      </c>
      <c r="BC333">
        <v>91</v>
      </c>
      <c r="BD333" t="s">
        <v>74</v>
      </c>
      <c r="BE333" t="s">
        <v>74</v>
      </c>
      <c r="BF333" t="s">
        <v>74</v>
      </c>
      <c r="BG333" t="s">
        <v>74</v>
      </c>
      <c r="BH333" t="s">
        <v>74</v>
      </c>
      <c r="BI333">
        <v>9</v>
      </c>
      <c r="BJ333" t="s">
        <v>903</v>
      </c>
      <c r="BK333" t="s">
        <v>103</v>
      </c>
      <c r="BL333" t="s">
        <v>903</v>
      </c>
      <c r="BM333" t="s">
        <v>4954</v>
      </c>
      <c r="BN333" t="s">
        <v>74</v>
      </c>
      <c r="BO333" t="s">
        <v>74</v>
      </c>
      <c r="BP333" t="s">
        <v>74</v>
      </c>
      <c r="BQ333" t="s">
        <v>74</v>
      </c>
      <c r="BR333" t="s">
        <v>107</v>
      </c>
      <c r="BS333" t="s">
        <v>4966</v>
      </c>
      <c r="BT333" t="str">
        <f>HYPERLINK("https%3A%2F%2Fwww.webofscience.com%2Fwos%2Fwoscc%2Ffull-record%2FWOS:000176247000008","View Full Record in Web of Science")</f>
        <v>View Full Record in Web of Science</v>
      </c>
    </row>
    <row r="334" spans="1:72" x14ac:dyDescent="0.15">
      <c r="A334" t="s">
        <v>72</v>
      </c>
      <c r="B334" t="s">
        <v>4967</v>
      </c>
      <c r="C334" t="s">
        <v>74</v>
      </c>
      <c r="D334" t="s">
        <v>74</v>
      </c>
      <c r="E334" t="s">
        <v>74</v>
      </c>
      <c r="F334" t="s">
        <v>4967</v>
      </c>
      <c r="G334" t="s">
        <v>74</v>
      </c>
      <c r="H334" t="s">
        <v>74</v>
      </c>
      <c r="I334" t="s">
        <v>4968</v>
      </c>
      <c r="J334" t="s">
        <v>750</v>
      </c>
      <c r="K334" t="s">
        <v>74</v>
      </c>
      <c r="L334" t="s">
        <v>74</v>
      </c>
      <c r="M334" t="s">
        <v>77</v>
      </c>
      <c r="N334" t="s">
        <v>751</v>
      </c>
      <c r="O334" t="s">
        <v>74</v>
      </c>
      <c r="P334" t="s">
        <v>74</v>
      </c>
      <c r="Q334" t="s">
        <v>74</v>
      </c>
      <c r="R334" t="s">
        <v>74</v>
      </c>
      <c r="S334" t="s">
        <v>74</v>
      </c>
      <c r="T334" t="s">
        <v>74</v>
      </c>
      <c r="U334" t="s">
        <v>74</v>
      </c>
      <c r="V334" t="s">
        <v>74</v>
      </c>
      <c r="W334" t="s">
        <v>4969</v>
      </c>
      <c r="X334" t="s">
        <v>4970</v>
      </c>
      <c r="Y334" t="s">
        <v>4971</v>
      </c>
      <c r="Z334" t="s">
        <v>74</v>
      </c>
      <c r="AA334" t="s">
        <v>74</v>
      </c>
      <c r="AB334" t="s">
        <v>74</v>
      </c>
      <c r="AC334" t="s">
        <v>74</v>
      </c>
      <c r="AD334" t="s">
        <v>74</v>
      </c>
      <c r="AE334" t="s">
        <v>74</v>
      </c>
      <c r="AF334" t="s">
        <v>74</v>
      </c>
      <c r="AG334">
        <v>0</v>
      </c>
      <c r="AH334">
        <v>1</v>
      </c>
      <c r="AI334">
        <v>1</v>
      </c>
      <c r="AJ334">
        <v>0</v>
      </c>
      <c r="AK334">
        <v>1</v>
      </c>
      <c r="AL334" t="s">
        <v>753</v>
      </c>
      <c r="AM334" t="s">
        <v>195</v>
      </c>
      <c r="AN334" t="s">
        <v>754</v>
      </c>
      <c r="AO334" t="s">
        <v>755</v>
      </c>
      <c r="AP334" t="s">
        <v>74</v>
      </c>
      <c r="AQ334" t="s">
        <v>74</v>
      </c>
      <c r="AR334" t="s">
        <v>756</v>
      </c>
      <c r="AS334" t="s">
        <v>757</v>
      </c>
      <c r="AT334" t="s">
        <v>4953</v>
      </c>
      <c r="AU334">
        <v>2002</v>
      </c>
      <c r="AV334">
        <v>14</v>
      </c>
      <c r="AW334">
        <v>1</v>
      </c>
      <c r="AX334" t="s">
        <v>74</v>
      </c>
      <c r="AY334" t="s">
        <v>74</v>
      </c>
      <c r="AZ334" t="s">
        <v>74</v>
      </c>
      <c r="BA334" t="s">
        <v>74</v>
      </c>
      <c r="BB334">
        <v>1</v>
      </c>
      <c r="BC334">
        <v>1</v>
      </c>
      <c r="BD334" t="s">
        <v>74</v>
      </c>
      <c r="BE334" t="s">
        <v>74</v>
      </c>
      <c r="BF334" t="s">
        <v>74</v>
      </c>
      <c r="BG334" t="s">
        <v>74</v>
      </c>
      <c r="BH334" t="s">
        <v>74</v>
      </c>
      <c r="BI334">
        <v>1</v>
      </c>
      <c r="BJ334" t="s">
        <v>759</v>
      </c>
      <c r="BK334" t="s">
        <v>170</v>
      </c>
      <c r="BL334" t="s">
        <v>760</v>
      </c>
      <c r="BM334" t="s">
        <v>4972</v>
      </c>
      <c r="BN334" t="s">
        <v>74</v>
      </c>
      <c r="BO334" t="s">
        <v>74</v>
      </c>
      <c r="BP334" t="s">
        <v>74</v>
      </c>
      <c r="BQ334" t="s">
        <v>74</v>
      </c>
      <c r="BR334" t="s">
        <v>107</v>
      </c>
      <c r="BS334" t="s">
        <v>4973</v>
      </c>
      <c r="BT334" t="str">
        <f>HYPERLINK("https%3A%2F%2Fwww.webofscience.com%2Fwos%2Fwoscc%2Ffull-record%2FWOS:000174627000001","View Full Record in Web of Science")</f>
        <v>View Full Record in Web of Science</v>
      </c>
    </row>
    <row r="335" spans="1:72" x14ac:dyDescent="0.15">
      <c r="A335" t="s">
        <v>72</v>
      </c>
      <c r="B335" t="s">
        <v>4974</v>
      </c>
      <c r="C335" t="s">
        <v>74</v>
      </c>
      <c r="D335" t="s">
        <v>74</v>
      </c>
      <c r="E335" t="s">
        <v>74</v>
      </c>
      <c r="F335" t="s">
        <v>4974</v>
      </c>
      <c r="G335" t="s">
        <v>74</v>
      </c>
      <c r="H335" t="s">
        <v>74</v>
      </c>
      <c r="I335" t="s">
        <v>4975</v>
      </c>
      <c r="J335" t="s">
        <v>750</v>
      </c>
      <c r="K335" t="s">
        <v>74</v>
      </c>
      <c r="L335" t="s">
        <v>74</v>
      </c>
      <c r="M335" t="s">
        <v>77</v>
      </c>
      <c r="N335" t="s">
        <v>153</v>
      </c>
      <c r="O335" t="s">
        <v>74</v>
      </c>
      <c r="P335" t="s">
        <v>74</v>
      </c>
      <c r="Q335" t="s">
        <v>74</v>
      </c>
      <c r="R335" t="s">
        <v>74</v>
      </c>
      <c r="S335" t="s">
        <v>74</v>
      </c>
      <c r="T335" t="s">
        <v>4976</v>
      </c>
      <c r="U335" t="s">
        <v>4977</v>
      </c>
      <c r="V335" t="s">
        <v>4978</v>
      </c>
      <c r="W335" t="s">
        <v>4979</v>
      </c>
      <c r="X335" t="s">
        <v>4980</v>
      </c>
      <c r="Y335" t="s">
        <v>300</v>
      </c>
      <c r="Z335" t="s">
        <v>74</v>
      </c>
      <c r="AA335" t="s">
        <v>4981</v>
      </c>
      <c r="AB335" t="s">
        <v>2785</v>
      </c>
      <c r="AC335" t="s">
        <v>74</v>
      </c>
      <c r="AD335" t="s">
        <v>74</v>
      </c>
      <c r="AE335" t="s">
        <v>74</v>
      </c>
      <c r="AF335" t="s">
        <v>74</v>
      </c>
      <c r="AG335">
        <v>45</v>
      </c>
      <c r="AH335">
        <v>22</v>
      </c>
      <c r="AI335">
        <v>24</v>
      </c>
      <c r="AJ335">
        <v>0</v>
      </c>
      <c r="AK335">
        <v>3</v>
      </c>
      <c r="AL335" t="s">
        <v>753</v>
      </c>
      <c r="AM335" t="s">
        <v>195</v>
      </c>
      <c r="AN335" t="s">
        <v>803</v>
      </c>
      <c r="AO335" t="s">
        <v>755</v>
      </c>
      <c r="AP335" t="s">
        <v>804</v>
      </c>
      <c r="AQ335" t="s">
        <v>74</v>
      </c>
      <c r="AR335" t="s">
        <v>756</v>
      </c>
      <c r="AS335" t="s">
        <v>757</v>
      </c>
      <c r="AT335" t="s">
        <v>4953</v>
      </c>
      <c r="AU335">
        <v>2002</v>
      </c>
      <c r="AV335">
        <v>14</v>
      </c>
      <c r="AW335">
        <v>1</v>
      </c>
      <c r="AX335" t="s">
        <v>74</v>
      </c>
      <c r="AY335" t="s">
        <v>74</v>
      </c>
      <c r="AZ335" t="s">
        <v>74</v>
      </c>
      <c r="BA335" t="s">
        <v>74</v>
      </c>
      <c r="BB335">
        <v>3</v>
      </c>
      <c r="BC335">
        <v>10</v>
      </c>
      <c r="BD335" t="s">
        <v>74</v>
      </c>
      <c r="BE335" t="s">
        <v>4982</v>
      </c>
      <c r="BF335" t="str">
        <f>HYPERLINK("http://dx.doi.org/10.1017/S0954102002000512","http://dx.doi.org/10.1017/S0954102002000512")</f>
        <v>http://dx.doi.org/10.1017/S0954102002000512</v>
      </c>
      <c r="BG335" t="s">
        <v>74</v>
      </c>
      <c r="BH335" t="s">
        <v>74</v>
      </c>
      <c r="BI335">
        <v>8</v>
      </c>
      <c r="BJ335" t="s">
        <v>759</v>
      </c>
      <c r="BK335" t="s">
        <v>170</v>
      </c>
      <c r="BL335" t="s">
        <v>760</v>
      </c>
      <c r="BM335" t="s">
        <v>4972</v>
      </c>
      <c r="BN335" t="s">
        <v>74</v>
      </c>
      <c r="BO335" t="s">
        <v>74</v>
      </c>
      <c r="BP335" t="s">
        <v>74</v>
      </c>
      <c r="BQ335" t="s">
        <v>74</v>
      </c>
      <c r="BR335" t="s">
        <v>107</v>
      </c>
      <c r="BS335" t="s">
        <v>4983</v>
      </c>
      <c r="BT335" t="str">
        <f>HYPERLINK("https%3A%2F%2Fwww.webofscience.com%2Fwos%2Fwoscc%2Ffull-record%2FWOS:000174627000002","View Full Record in Web of Science")</f>
        <v>View Full Record in Web of Science</v>
      </c>
    </row>
    <row r="336" spans="1:72" x14ac:dyDescent="0.15">
      <c r="A336" t="s">
        <v>72</v>
      </c>
      <c r="B336" t="s">
        <v>4984</v>
      </c>
      <c r="C336" t="s">
        <v>74</v>
      </c>
      <c r="D336" t="s">
        <v>74</v>
      </c>
      <c r="E336" t="s">
        <v>74</v>
      </c>
      <c r="F336" t="s">
        <v>4984</v>
      </c>
      <c r="G336" t="s">
        <v>74</v>
      </c>
      <c r="H336" t="s">
        <v>74</v>
      </c>
      <c r="I336" t="s">
        <v>4985</v>
      </c>
      <c r="J336" t="s">
        <v>750</v>
      </c>
      <c r="K336" t="s">
        <v>74</v>
      </c>
      <c r="L336" t="s">
        <v>74</v>
      </c>
      <c r="M336" t="s">
        <v>77</v>
      </c>
      <c r="N336" t="s">
        <v>153</v>
      </c>
      <c r="O336" t="s">
        <v>74</v>
      </c>
      <c r="P336" t="s">
        <v>74</v>
      </c>
      <c r="Q336" t="s">
        <v>74</v>
      </c>
      <c r="R336" t="s">
        <v>74</v>
      </c>
      <c r="S336" t="s">
        <v>74</v>
      </c>
      <c r="T336" t="s">
        <v>4986</v>
      </c>
      <c r="U336" t="s">
        <v>74</v>
      </c>
      <c r="V336" t="s">
        <v>4987</v>
      </c>
      <c r="W336" t="s">
        <v>4988</v>
      </c>
      <c r="X336" t="s">
        <v>4989</v>
      </c>
      <c r="Y336" t="s">
        <v>4990</v>
      </c>
      <c r="Z336" t="s">
        <v>74</v>
      </c>
      <c r="AA336" t="s">
        <v>4991</v>
      </c>
      <c r="AB336" t="s">
        <v>4992</v>
      </c>
      <c r="AC336" t="s">
        <v>74</v>
      </c>
      <c r="AD336" t="s">
        <v>74</v>
      </c>
      <c r="AE336" t="s">
        <v>74</v>
      </c>
      <c r="AF336" t="s">
        <v>74</v>
      </c>
      <c r="AG336">
        <v>24</v>
      </c>
      <c r="AH336">
        <v>44</v>
      </c>
      <c r="AI336">
        <v>48</v>
      </c>
      <c r="AJ336">
        <v>0</v>
      </c>
      <c r="AK336">
        <v>7</v>
      </c>
      <c r="AL336" t="s">
        <v>753</v>
      </c>
      <c r="AM336" t="s">
        <v>195</v>
      </c>
      <c r="AN336" t="s">
        <v>754</v>
      </c>
      <c r="AO336" t="s">
        <v>755</v>
      </c>
      <c r="AP336" t="s">
        <v>74</v>
      </c>
      <c r="AQ336" t="s">
        <v>74</v>
      </c>
      <c r="AR336" t="s">
        <v>756</v>
      </c>
      <c r="AS336" t="s">
        <v>757</v>
      </c>
      <c r="AT336" t="s">
        <v>4953</v>
      </c>
      <c r="AU336">
        <v>2002</v>
      </c>
      <c r="AV336">
        <v>14</v>
      </c>
      <c r="AW336">
        <v>1</v>
      </c>
      <c r="AX336" t="s">
        <v>74</v>
      </c>
      <c r="AY336" t="s">
        <v>74</v>
      </c>
      <c r="AZ336" t="s">
        <v>74</v>
      </c>
      <c r="BA336" t="s">
        <v>74</v>
      </c>
      <c r="BB336">
        <v>11</v>
      </c>
      <c r="BC336">
        <v>15</v>
      </c>
      <c r="BD336" t="s">
        <v>74</v>
      </c>
      <c r="BE336" t="s">
        <v>4993</v>
      </c>
      <c r="BF336" t="str">
        <f>HYPERLINK("http://dx.doi.org/10.1017/S0954102002000524","http://dx.doi.org/10.1017/S0954102002000524")</f>
        <v>http://dx.doi.org/10.1017/S0954102002000524</v>
      </c>
      <c r="BG336" t="s">
        <v>74</v>
      </c>
      <c r="BH336" t="s">
        <v>74</v>
      </c>
      <c r="BI336">
        <v>5</v>
      </c>
      <c r="BJ336" t="s">
        <v>759</v>
      </c>
      <c r="BK336" t="s">
        <v>170</v>
      </c>
      <c r="BL336" t="s">
        <v>760</v>
      </c>
      <c r="BM336" t="s">
        <v>4972</v>
      </c>
      <c r="BN336" t="s">
        <v>74</v>
      </c>
      <c r="BO336" t="s">
        <v>74</v>
      </c>
      <c r="BP336" t="s">
        <v>74</v>
      </c>
      <c r="BQ336" t="s">
        <v>74</v>
      </c>
      <c r="BR336" t="s">
        <v>107</v>
      </c>
      <c r="BS336" t="s">
        <v>4994</v>
      </c>
      <c r="BT336" t="str">
        <f>HYPERLINK("https%3A%2F%2Fwww.webofscience.com%2Fwos%2Fwoscc%2Ffull-record%2FWOS:000174627000003","View Full Record in Web of Science")</f>
        <v>View Full Record in Web of Science</v>
      </c>
    </row>
    <row r="337" spans="1:72" x14ac:dyDescent="0.15">
      <c r="A337" t="s">
        <v>72</v>
      </c>
      <c r="B337" t="s">
        <v>4995</v>
      </c>
      <c r="C337" t="s">
        <v>74</v>
      </c>
      <c r="D337" t="s">
        <v>74</v>
      </c>
      <c r="E337" t="s">
        <v>74</v>
      </c>
      <c r="F337" t="s">
        <v>4995</v>
      </c>
      <c r="G337" t="s">
        <v>74</v>
      </c>
      <c r="H337" t="s">
        <v>74</v>
      </c>
      <c r="I337" t="s">
        <v>4996</v>
      </c>
      <c r="J337" t="s">
        <v>750</v>
      </c>
      <c r="K337" t="s">
        <v>74</v>
      </c>
      <c r="L337" t="s">
        <v>74</v>
      </c>
      <c r="M337" t="s">
        <v>77</v>
      </c>
      <c r="N337" t="s">
        <v>153</v>
      </c>
      <c r="O337" t="s">
        <v>74</v>
      </c>
      <c r="P337" t="s">
        <v>74</v>
      </c>
      <c r="Q337" t="s">
        <v>74</v>
      </c>
      <c r="R337" t="s">
        <v>74</v>
      </c>
      <c r="S337" t="s">
        <v>74</v>
      </c>
      <c r="T337" t="s">
        <v>4997</v>
      </c>
      <c r="U337" t="s">
        <v>4998</v>
      </c>
      <c r="V337" t="s">
        <v>4999</v>
      </c>
      <c r="W337" t="s">
        <v>5000</v>
      </c>
      <c r="X337" t="s">
        <v>5001</v>
      </c>
      <c r="Y337" t="s">
        <v>5002</v>
      </c>
      <c r="Z337" t="s">
        <v>74</v>
      </c>
      <c r="AA337" t="s">
        <v>5003</v>
      </c>
      <c r="AB337" t="s">
        <v>4103</v>
      </c>
      <c r="AC337" t="s">
        <v>74</v>
      </c>
      <c r="AD337" t="s">
        <v>74</v>
      </c>
      <c r="AE337" t="s">
        <v>74</v>
      </c>
      <c r="AF337" t="s">
        <v>74</v>
      </c>
      <c r="AG337">
        <v>32</v>
      </c>
      <c r="AH337">
        <v>23</v>
      </c>
      <c r="AI337">
        <v>23</v>
      </c>
      <c r="AJ337">
        <v>0</v>
      </c>
      <c r="AK337">
        <v>4</v>
      </c>
      <c r="AL337" t="s">
        <v>753</v>
      </c>
      <c r="AM337" t="s">
        <v>195</v>
      </c>
      <c r="AN337" t="s">
        <v>754</v>
      </c>
      <c r="AO337" t="s">
        <v>755</v>
      </c>
      <c r="AP337" t="s">
        <v>74</v>
      </c>
      <c r="AQ337" t="s">
        <v>74</v>
      </c>
      <c r="AR337" t="s">
        <v>756</v>
      </c>
      <c r="AS337" t="s">
        <v>757</v>
      </c>
      <c r="AT337" t="s">
        <v>4953</v>
      </c>
      <c r="AU337">
        <v>2002</v>
      </c>
      <c r="AV337">
        <v>14</v>
      </c>
      <c r="AW337">
        <v>1</v>
      </c>
      <c r="AX337" t="s">
        <v>74</v>
      </c>
      <c r="AY337" t="s">
        <v>74</v>
      </c>
      <c r="AZ337" t="s">
        <v>74</v>
      </c>
      <c r="BA337" t="s">
        <v>74</v>
      </c>
      <c r="BB337">
        <v>16</v>
      </c>
      <c r="BC337">
        <v>24</v>
      </c>
      <c r="BD337" t="s">
        <v>74</v>
      </c>
      <c r="BE337" t="s">
        <v>5004</v>
      </c>
      <c r="BF337" t="str">
        <f>HYPERLINK("http://dx.doi.org/10.1017/S0954102002000536","http://dx.doi.org/10.1017/S0954102002000536")</f>
        <v>http://dx.doi.org/10.1017/S0954102002000536</v>
      </c>
      <c r="BG337" t="s">
        <v>74</v>
      </c>
      <c r="BH337" t="s">
        <v>74</v>
      </c>
      <c r="BI337">
        <v>9</v>
      </c>
      <c r="BJ337" t="s">
        <v>759</v>
      </c>
      <c r="BK337" t="s">
        <v>170</v>
      </c>
      <c r="BL337" t="s">
        <v>760</v>
      </c>
      <c r="BM337" t="s">
        <v>4972</v>
      </c>
      <c r="BN337" t="s">
        <v>74</v>
      </c>
      <c r="BO337" t="s">
        <v>74</v>
      </c>
      <c r="BP337" t="s">
        <v>74</v>
      </c>
      <c r="BQ337" t="s">
        <v>74</v>
      </c>
      <c r="BR337" t="s">
        <v>107</v>
      </c>
      <c r="BS337" t="s">
        <v>5005</v>
      </c>
      <c r="BT337" t="str">
        <f>HYPERLINK("https%3A%2F%2Fwww.webofscience.com%2Fwos%2Fwoscc%2Ffull-record%2FWOS:000174627000004","View Full Record in Web of Science")</f>
        <v>View Full Record in Web of Science</v>
      </c>
    </row>
    <row r="338" spans="1:72" x14ac:dyDescent="0.15">
      <c r="A338" t="s">
        <v>72</v>
      </c>
      <c r="B338" t="s">
        <v>5006</v>
      </c>
      <c r="C338" t="s">
        <v>74</v>
      </c>
      <c r="D338" t="s">
        <v>74</v>
      </c>
      <c r="E338" t="s">
        <v>74</v>
      </c>
      <c r="F338" t="s">
        <v>5006</v>
      </c>
      <c r="G338" t="s">
        <v>74</v>
      </c>
      <c r="H338" t="s">
        <v>74</v>
      </c>
      <c r="I338" t="s">
        <v>5007</v>
      </c>
      <c r="J338" t="s">
        <v>750</v>
      </c>
      <c r="K338" t="s">
        <v>74</v>
      </c>
      <c r="L338" t="s">
        <v>74</v>
      </c>
      <c r="M338" t="s">
        <v>77</v>
      </c>
      <c r="N338" t="s">
        <v>153</v>
      </c>
      <c r="O338" t="s">
        <v>74</v>
      </c>
      <c r="P338" t="s">
        <v>74</v>
      </c>
      <c r="Q338" t="s">
        <v>74</v>
      </c>
      <c r="R338" t="s">
        <v>74</v>
      </c>
      <c r="S338" t="s">
        <v>74</v>
      </c>
      <c r="T338" t="s">
        <v>5008</v>
      </c>
      <c r="U338" t="s">
        <v>5009</v>
      </c>
      <c r="V338" t="s">
        <v>5010</v>
      </c>
      <c r="W338" t="s">
        <v>851</v>
      </c>
      <c r="X338" t="s">
        <v>852</v>
      </c>
      <c r="Y338" t="s">
        <v>268</v>
      </c>
      <c r="Z338" t="s">
        <v>5011</v>
      </c>
      <c r="AA338" t="s">
        <v>74</v>
      </c>
      <c r="AB338" t="s">
        <v>74</v>
      </c>
      <c r="AC338" t="s">
        <v>74</v>
      </c>
      <c r="AD338" t="s">
        <v>74</v>
      </c>
      <c r="AE338" t="s">
        <v>74</v>
      </c>
      <c r="AF338" t="s">
        <v>74</v>
      </c>
      <c r="AG338">
        <v>52</v>
      </c>
      <c r="AH338">
        <v>25</v>
      </c>
      <c r="AI338">
        <v>28</v>
      </c>
      <c r="AJ338">
        <v>0</v>
      </c>
      <c r="AK338">
        <v>8</v>
      </c>
      <c r="AL338" t="s">
        <v>753</v>
      </c>
      <c r="AM338" t="s">
        <v>195</v>
      </c>
      <c r="AN338" t="s">
        <v>803</v>
      </c>
      <c r="AO338" t="s">
        <v>755</v>
      </c>
      <c r="AP338" t="s">
        <v>804</v>
      </c>
      <c r="AQ338" t="s">
        <v>74</v>
      </c>
      <c r="AR338" t="s">
        <v>756</v>
      </c>
      <c r="AS338" t="s">
        <v>757</v>
      </c>
      <c r="AT338" t="s">
        <v>4953</v>
      </c>
      <c r="AU338">
        <v>2002</v>
      </c>
      <c r="AV338">
        <v>14</v>
      </c>
      <c r="AW338">
        <v>1</v>
      </c>
      <c r="AX338" t="s">
        <v>74</v>
      </c>
      <c r="AY338" t="s">
        <v>74</v>
      </c>
      <c r="AZ338" t="s">
        <v>74</v>
      </c>
      <c r="BA338" t="s">
        <v>74</v>
      </c>
      <c r="BB338">
        <v>25</v>
      </c>
      <c r="BC338">
        <v>31</v>
      </c>
      <c r="BD338" t="s">
        <v>74</v>
      </c>
      <c r="BE338" t="s">
        <v>5012</v>
      </c>
      <c r="BF338" t="str">
        <f>HYPERLINK("http://dx.doi.org/10.1017/S0954102002000548","http://dx.doi.org/10.1017/S0954102002000548")</f>
        <v>http://dx.doi.org/10.1017/S0954102002000548</v>
      </c>
      <c r="BG338" t="s">
        <v>74</v>
      </c>
      <c r="BH338" t="s">
        <v>74</v>
      </c>
      <c r="BI338">
        <v>7</v>
      </c>
      <c r="BJ338" t="s">
        <v>759</v>
      </c>
      <c r="BK338" t="s">
        <v>170</v>
      </c>
      <c r="BL338" t="s">
        <v>760</v>
      </c>
      <c r="BM338" t="s">
        <v>4972</v>
      </c>
      <c r="BN338" t="s">
        <v>74</v>
      </c>
      <c r="BO338" t="s">
        <v>665</v>
      </c>
      <c r="BP338" t="s">
        <v>74</v>
      </c>
      <c r="BQ338" t="s">
        <v>74</v>
      </c>
      <c r="BR338" t="s">
        <v>107</v>
      </c>
      <c r="BS338" t="s">
        <v>5013</v>
      </c>
      <c r="BT338" t="str">
        <f>HYPERLINK("https%3A%2F%2Fwww.webofscience.com%2Fwos%2Fwoscc%2Ffull-record%2FWOS:000174627000005","View Full Record in Web of Science")</f>
        <v>View Full Record in Web of Science</v>
      </c>
    </row>
    <row r="339" spans="1:72" x14ac:dyDescent="0.15">
      <c r="A339" t="s">
        <v>72</v>
      </c>
      <c r="B339" t="s">
        <v>5014</v>
      </c>
      <c r="C339" t="s">
        <v>74</v>
      </c>
      <c r="D339" t="s">
        <v>74</v>
      </c>
      <c r="E339" t="s">
        <v>74</v>
      </c>
      <c r="F339" t="s">
        <v>5014</v>
      </c>
      <c r="G339" t="s">
        <v>74</v>
      </c>
      <c r="H339" t="s">
        <v>74</v>
      </c>
      <c r="I339" t="s">
        <v>5015</v>
      </c>
      <c r="J339" t="s">
        <v>750</v>
      </c>
      <c r="K339" t="s">
        <v>74</v>
      </c>
      <c r="L339" t="s">
        <v>74</v>
      </c>
      <c r="M339" t="s">
        <v>77</v>
      </c>
      <c r="N339" t="s">
        <v>153</v>
      </c>
      <c r="O339" t="s">
        <v>74</v>
      </c>
      <c r="P339" t="s">
        <v>74</v>
      </c>
      <c r="Q339" t="s">
        <v>74</v>
      </c>
      <c r="R339" t="s">
        <v>74</v>
      </c>
      <c r="S339" t="s">
        <v>74</v>
      </c>
      <c r="T339" t="s">
        <v>5016</v>
      </c>
      <c r="U339" t="s">
        <v>5017</v>
      </c>
      <c r="V339" t="s">
        <v>5018</v>
      </c>
      <c r="W339" t="s">
        <v>5019</v>
      </c>
      <c r="X339" t="s">
        <v>5020</v>
      </c>
      <c r="Y339" t="s">
        <v>5021</v>
      </c>
      <c r="Z339" t="s">
        <v>5022</v>
      </c>
      <c r="AA339" t="s">
        <v>74</v>
      </c>
      <c r="AB339" t="s">
        <v>74</v>
      </c>
      <c r="AC339" t="s">
        <v>74</v>
      </c>
      <c r="AD339" t="s">
        <v>74</v>
      </c>
      <c r="AE339" t="s">
        <v>74</v>
      </c>
      <c r="AF339" t="s">
        <v>74</v>
      </c>
      <c r="AG339">
        <v>36</v>
      </c>
      <c r="AH339">
        <v>9</v>
      </c>
      <c r="AI339">
        <v>10</v>
      </c>
      <c r="AJ339">
        <v>0</v>
      </c>
      <c r="AK339">
        <v>9</v>
      </c>
      <c r="AL339" t="s">
        <v>753</v>
      </c>
      <c r="AM339" t="s">
        <v>195</v>
      </c>
      <c r="AN339" t="s">
        <v>803</v>
      </c>
      <c r="AO339" t="s">
        <v>755</v>
      </c>
      <c r="AP339" t="s">
        <v>804</v>
      </c>
      <c r="AQ339" t="s">
        <v>74</v>
      </c>
      <c r="AR339" t="s">
        <v>756</v>
      </c>
      <c r="AS339" t="s">
        <v>757</v>
      </c>
      <c r="AT339" t="s">
        <v>4953</v>
      </c>
      <c r="AU339">
        <v>2002</v>
      </c>
      <c r="AV339">
        <v>14</v>
      </c>
      <c r="AW339">
        <v>1</v>
      </c>
      <c r="AX339" t="s">
        <v>74</v>
      </c>
      <c r="AY339" t="s">
        <v>74</v>
      </c>
      <c r="AZ339" t="s">
        <v>74</v>
      </c>
      <c r="BA339" t="s">
        <v>74</v>
      </c>
      <c r="BB339">
        <v>32</v>
      </c>
      <c r="BC339">
        <v>36</v>
      </c>
      <c r="BD339" t="s">
        <v>74</v>
      </c>
      <c r="BE339" t="s">
        <v>5023</v>
      </c>
      <c r="BF339" t="str">
        <f>HYPERLINK("http://dx.doi.org/10.1017/S095410200200055X","http://dx.doi.org/10.1017/S095410200200055X")</f>
        <v>http://dx.doi.org/10.1017/S095410200200055X</v>
      </c>
      <c r="BG339" t="s">
        <v>74</v>
      </c>
      <c r="BH339" t="s">
        <v>74</v>
      </c>
      <c r="BI339">
        <v>5</v>
      </c>
      <c r="BJ339" t="s">
        <v>759</v>
      </c>
      <c r="BK339" t="s">
        <v>170</v>
      </c>
      <c r="BL339" t="s">
        <v>760</v>
      </c>
      <c r="BM339" t="s">
        <v>4972</v>
      </c>
      <c r="BN339" t="s">
        <v>74</v>
      </c>
      <c r="BO339" t="s">
        <v>74</v>
      </c>
      <c r="BP339" t="s">
        <v>74</v>
      </c>
      <c r="BQ339" t="s">
        <v>74</v>
      </c>
      <c r="BR339" t="s">
        <v>107</v>
      </c>
      <c r="BS339" t="s">
        <v>5024</v>
      </c>
      <c r="BT339" t="str">
        <f>HYPERLINK("https%3A%2F%2Fwww.webofscience.com%2Fwos%2Fwoscc%2Ffull-record%2FWOS:000174627000006","View Full Record in Web of Science")</f>
        <v>View Full Record in Web of Science</v>
      </c>
    </row>
    <row r="340" spans="1:72" x14ac:dyDescent="0.15">
      <c r="A340" t="s">
        <v>72</v>
      </c>
      <c r="B340" t="s">
        <v>5025</v>
      </c>
      <c r="C340" t="s">
        <v>74</v>
      </c>
      <c r="D340" t="s">
        <v>74</v>
      </c>
      <c r="E340" t="s">
        <v>74</v>
      </c>
      <c r="F340" t="s">
        <v>5025</v>
      </c>
      <c r="G340" t="s">
        <v>74</v>
      </c>
      <c r="H340" t="s">
        <v>74</v>
      </c>
      <c r="I340" t="s">
        <v>5026</v>
      </c>
      <c r="J340" t="s">
        <v>750</v>
      </c>
      <c r="K340" t="s">
        <v>74</v>
      </c>
      <c r="L340" t="s">
        <v>74</v>
      </c>
      <c r="M340" t="s">
        <v>77</v>
      </c>
      <c r="N340" t="s">
        <v>153</v>
      </c>
      <c r="O340" t="s">
        <v>74</v>
      </c>
      <c r="P340" t="s">
        <v>74</v>
      </c>
      <c r="Q340" t="s">
        <v>74</v>
      </c>
      <c r="R340" t="s">
        <v>74</v>
      </c>
      <c r="S340" t="s">
        <v>74</v>
      </c>
      <c r="T340" t="s">
        <v>5027</v>
      </c>
      <c r="U340" t="s">
        <v>5028</v>
      </c>
      <c r="V340" t="s">
        <v>5029</v>
      </c>
      <c r="W340" t="s">
        <v>5030</v>
      </c>
      <c r="X340" t="s">
        <v>5031</v>
      </c>
      <c r="Y340" t="s">
        <v>5032</v>
      </c>
      <c r="Z340" t="s">
        <v>74</v>
      </c>
      <c r="AA340" t="s">
        <v>5033</v>
      </c>
      <c r="AB340" t="s">
        <v>5034</v>
      </c>
      <c r="AC340" t="s">
        <v>74</v>
      </c>
      <c r="AD340" t="s">
        <v>74</v>
      </c>
      <c r="AE340" t="s">
        <v>74</v>
      </c>
      <c r="AF340" t="s">
        <v>74</v>
      </c>
      <c r="AG340">
        <v>72</v>
      </c>
      <c r="AH340">
        <v>46</v>
      </c>
      <c r="AI340">
        <v>54</v>
      </c>
      <c r="AJ340">
        <v>0</v>
      </c>
      <c r="AK340">
        <v>11</v>
      </c>
      <c r="AL340" t="s">
        <v>753</v>
      </c>
      <c r="AM340" t="s">
        <v>195</v>
      </c>
      <c r="AN340" t="s">
        <v>754</v>
      </c>
      <c r="AO340" t="s">
        <v>755</v>
      </c>
      <c r="AP340" t="s">
        <v>74</v>
      </c>
      <c r="AQ340" t="s">
        <v>74</v>
      </c>
      <c r="AR340" t="s">
        <v>756</v>
      </c>
      <c r="AS340" t="s">
        <v>757</v>
      </c>
      <c r="AT340" t="s">
        <v>4953</v>
      </c>
      <c r="AU340">
        <v>2002</v>
      </c>
      <c r="AV340">
        <v>14</v>
      </c>
      <c r="AW340">
        <v>1</v>
      </c>
      <c r="AX340" t="s">
        <v>74</v>
      </c>
      <c r="AY340" t="s">
        <v>74</v>
      </c>
      <c r="AZ340" t="s">
        <v>74</v>
      </c>
      <c r="BA340" t="s">
        <v>74</v>
      </c>
      <c r="BB340">
        <v>37</v>
      </c>
      <c r="BC340">
        <v>54</v>
      </c>
      <c r="BD340" t="s">
        <v>74</v>
      </c>
      <c r="BE340" t="s">
        <v>5035</v>
      </c>
      <c r="BF340" t="str">
        <f>HYPERLINK("http://dx.doi.org/10.1017/S0954102002000561","http://dx.doi.org/10.1017/S0954102002000561")</f>
        <v>http://dx.doi.org/10.1017/S0954102002000561</v>
      </c>
      <c r="BG340" t="s">
        <v>74</v>
      </c>
      <c r="BH340" t="s">
        <v>74</v>
      </c>
      <c r="BI340">
        <v>18</v>
      </c>
      <c r="BJ340" t="s">
        <v>759</v>
      </c>
      <c r="BK340" t="s">
        <v>170</v>
      </c>
      <c r="BL340" t="s">
        <v>760</v>
      </c>
      <c r="BM340" t="s">
        <v>4972</v>
      </c>
      <c r="BN340" t="s">
        <v>74</v>
      </c>
      <c r="BO340" t="s">
        <v>74</v>
      </c>
      <c r="BP340" t="s">
        <v>74</v>
      </c>
      <c r="BQ340" t="s">
        <v>74</v>
      </c>
      <c r="BR340" t="s">
        <v>107</v>
      </c>
      <c r="BS340" t="s">
        <v>5036</v>
      </c>
      <c r="BT340" t="str">
        <f>HYPERLINK("https%3A%2F%2Fwww.webofscience.com%2Fwos%2Fwoscc%2Ffull-record%2FWOS:000174627000007","View Full Record in Web of Science")</f>
        <v>View Full Record in Web of Science</v>
      </c>
    </row>
    <row r="341" spans="1:72" x14ac:dyDescent="0.15">
      <c r="A341" t="s">
        <v>72</v>
      </c>
      <c r="B341" t="s">
        <v>5037</v>
      </c>
      <c r="C341" t="s">
        <v>74</v>
      </c>
      <c r="D341" t="s">
        <v>74</v>
      </c>
      <c r="E341" t="s">
        <v>74</v>
      </c>
      <c r="F341" t="s">
        <v>5037</v>
      </c>
      <c r="G341" t="s">
        <v>74</v>
      </c>
      <c r="H341" t="s">
        <v>74</v>
      </c>
      <c r="I341" t="s">
        <v>5038</v>
      </c>
      <c r="J341" t="s">
        <v>750</v>
      </c>
      <c r="K341" t="s">
        <v>74</v>
      </c>
      <c r="L341" t="s">
        <v>74</v>
      </c>
      <c r="M341" t="s">
        <v>77</v>
      </c>
      <c r="N341" t="s">
        <v>153</v>
      </c>
      <c r="O341" t="s">
        <v>74</v>
      </c>
      <c r="P341" t="s">
        <v>74</v>
      </c>
      <c r="Q341" t="s">
        <v>74</v>
      </c>
      <c r="R341" t="s">
        <v>74</v>
      </c>
      <c r="S341" t="s">
        <v>74</v>
      </c>
      <c r="T341" t="s">
        <v>5039</v>
      </c>
      <c r="U341" t="s">
        <v>5040</v>
      </c>
      <c r="V341" t="s">
        <v>5041</v>
      </c>
      <c r="W341" t="s">
        <v>5042</v>
      </c>
      <c r="X341" t="s">
        <v>5043</v>
      </c>
      <c r="Y341" t="s">
        <v>5044</v>
      </c>
      <c r="Z341" t="s">
        <v>74</v>
      </c>
      <c r="AA341" t="s">
        <v>74</v>
      </c>
      <c r="AB341" t="s">
        <v>74</v>
      </c>
      <c r="AC341" t="s">
        <v>74</v>
      </c>
      <c r="AD341" t="s">
        <v>74</v>
      </c>
      <c r="AE341" t="s">
        <v>74</v>
      </c>
      <c r="AF341" t="s">
        <v>74</v>
      </c>
      <c r="AG341">
        <v>22</v>
      </c>
      <c r="AH341">
        <v>19</v>
      </c>
      <c r="AI341">
        <v>32</v>
      </c>
      <c r="AJ341">
        <v>2</v>
      </c>
      <c r="AK341">
        <v>15</v>
      </c>
      <c r="AL341" t="s">
        <v>753</v>
      </c>
      <c r="AM341" t="s">
        <v>195</v>
      </c>
      <c r="AN341" t="s">
        <v>803</v>
      </c>
      <c r="AO341" t="s">
        <v>755</v>
      </c>
      <c r="AP341" t="s">
        <v>804</v>
      </c>
      <c r="AQ341" t="s">
        <v>74</v>
      </c>
      <c r="AR341" t="s">
        <v>756</v>
      </c>
      <c r="AS341" t="s">
        <v>757</v>
      </c>
      <c r="AT341" t="s">
        <v>4953</v>
      </c>
      <c r="AU341">
        <v>2002</v>
      </c>
      <c r="AV341">
        <v>14</v>
      </c>
      <c r="AW341">
        <v>1</v>
      </c>
      <c r="AX341" t="s">
        <v>74</v>
      </c>
      <c r="AY341" t="s">
        <v>74</v>
      </c>
      <c r="AZ341" t="s">
        <v>74</v>
      </c>
      <c r="BA341" t="s">
        <v>74</v>
      </c>
      <c r="BB341">
        <v>55</v>
      </c>
      <c r="BC341">
        <v>60</v>
      </c>
      <c r="BD341" t="s">
        <v>74</v>
      </c>
      <c r="BE341" t="s">
        <v>5045</v>
      </c>
      <c r="BF341" t="str">
        <f>HYPERLINK("http://dx.doi.org/10.1017/S0954102002000573","http://dx.doi.org/10.1017/S0954102002000573")</f>
        <v>http://dx.doi.org/10.1017/S0954102002000573</v>
      </c>
      <c r="BG341" t="s">
        <v>74</v>
      </c>
      <c r="BH341" t="s">
        <v>74</v>
      </c>
      <c r="BI341">
        <v>6</v>
      </c>
      <c r="BJ341" t="s">
        <v>759</v>
      </c>
      <c r="BK341" t="s">
        <v>170</v>
      </c>
      <c r="BL341" t="s">
        <v>760</v>
      </c>
      <c r="BM341" t="s">
        <v>4972</v>
      </c>
      <c r="BN341" t="s">
        <v>74</v>
      </c>
      <c r="BO341" t="s">
        <v>74</v>
      </c>
      <c r="BP341" t="s">
        <v>74</v>
      </c>
      <c r="BQ341" t="s">
        <v>74</v>
      </c>
      <c r="BR341" t="s">
        <v>107</v>
      </c>
      <c r="BS341" t="s">
        <v>5046</v>
      </c>
      <c r="BT341" t="str">
        <f>HYPERLINK("https%3A%2F%2Fwww.webofscience.com%2Fwos%2Fwoscc%2Ffull-record%2FWOS:000174627000008","View Full Record in Web of Science")</f>
        <v>View Full Record in Web of Science</v>
      </c>
    </row>
    <row r="342" spans="1:72" x14ac:dyDescent="0.15">
      <c r="A342" t="s">
        <v>72</v>
      </c>
      <c r="B342" t="s">
        <v>5047</v>
      </c>
      <c r="C342" t="s">
        <v>74</v>
      </c>
      <c r="D342" t="s">
        <v>74</v>
      </c>
      <c r="E342" t="s">
        <v>74</v>
      </c>
      <c r="F342" t="s">
        <v>5047</v>
      </c>
      <c r="G342" t="s">
        <v>74</v>
      </c>
      <c r="H342" t="s">
        <v>74</v>
      </c>
      <c r="I342" t="s">
        <v>5048</v>
      </c>
      <c r="J342" t="s">
        <v>750</v>
      </c>
      <c r="K342" t="s">
        <v>74</v>
      </c>
      <c r="L342" t="s">
        <v>74</v>
      </c>
      <c r="M342" t="s">
        <v>77</v>
      </c>
      <c r="N342" t="s">
        <v>153</v>
      </c>
      <c r="O342" t="s">
        <v>74</v>
      </c>
      <c r="P342" t="s">
        <v>74</v>
      </c>
      <c r="Q342" t="s">
        <v>74</v>
      </c>
      <c r="R342" t="s">
        <v>74</v>
      </c>
      <c r="S342" t="s">
        <v>74</v>
      </c>
      <c r="T342" t="s">
        <v>5049</v>
      </c>
      <c r="U342" t="s">
        <v>5050</v>
      </c>
      <c r="V342" t="s">
        <v>5051</v>
      </c>
      <c r="W342" t="s">
        <v>5052</v>
      </c>
      <c r="X342" t="s">
        <v>5053</v>
      </c>
      <c r="Y342" t="s">
        <v>5054</v>
      </c>
      <c r="Z342" t="s">
        <v>74</v>
      </c>
      <c r="AA342" t="s">
        <v>74</v>
      </c>
      <c r="AB342" t="s">
        <v>5055</v>
      </c>
      <c r="AC342" t="s">
        <v>74</v>
      </c>
      <c r="AD342" t="s">
        <v>74</v>
      </c>
      <c r="AE342" t="s">
        <v>74</v>
      </c>
      <c r="AF342" t="s">
        <v>74</v>
      </c>
      <c r="AG342">
        <v>29</v>
      </c>
      <c r="AH342">
        <v>11</v>
      </c>
      <c r="AI342">
        <v>11</v>
      </c>
      <c r="AJ342">
        <v>0</v>
      </c>
      <c r="AK342">
        <v>2</v>
      </c>
      <c r="AL342" t="s">
        <v>753</v>
      </c>
      <c r="AM342" t="s">
        <v>195</v>
      </c>
      <c r="AN342" t="s">
        <v>803</v>
      </c>
      <c r="AO342" t="s">
        <v>755</v>
      </c>
      <c r="AP342" t="s">
        <v>804</v>
      </c>
      <c r="AQ342" t="s">
        <v>74</v>
      </c>
      <c r="AR342" t="s">
        <v>756</v>
      </c>
      <c r="AS342" t="s">
        <v>757</v>
      </c>
      <c r="AT342" t="s">
        <v>4953</v>
      </c>
      <c r="AU342">
        <v>2002</v>
      </c>
      <c r="AV342">
        <v>14</v>
      </c>
      <c r="AW342">
        <v>1</v>
      </c>
      <c r="AX342" t="s">
        <v>74</v>
      </c>
      <c r="AY342" t="s">
        <v>74</v>
      </c>
      <c r="AZ342" t="s">
        <v>74</v>
      </c>
      <c r="BA342" t="s">
        <v>74</v>
      </c>
      <c r="BB342">
        <v>61</v>
      </c>
      <c r="BC342">
        <v>68</v>
      </c>
      <c r="BD342" t="s">
        <v>74</v>
      </c>
      <c r="BE342" t="s">
        <v>5056</v>
      </c>
      <c r="BF342" t="str">
        <f>HYPERLINK("http://dx.doi.org/10.1017/S0954102002000585","http://dx.doi.org/10.1017/S0954102002000585")</f>
        <v>http://dx.doi.org/10.1017/S0954102002000585</v>
      </c>
      <c r="BG342" t="s">
        <v>74</v>
      </c>
      <c r="BH342" t="s">
        <v>74</v>
      </c>
      <c r="BI342">
        <v>8</v>
      </c>
      <c r="BJ342" t="s">
        <v>759</v>
      </c>
      <c r="BK342" t="s">
        <v>170</v>
      </c>
      <c r="BL342" t="s">
        <v>760</v>
      </c>
      <c r="BM342" t="s">
        <v>4972</v>
      </c>
      <c r="BN342" t="s">
        <v>74</v>
      </c>
      <c r="BO342" t="s">
        <v>74</v>
      </c>
      <c r="BP342" t="s">
        <v>74</v>
      </c>
      <c r="BQ342" t="s">
        <v>74</v>
      </c>
      <c r="BR342" t="s">
        <v>107</v>
      </c>
      <c r="BS342" t="s">
        <v>5057</v>
      </c>
      <c r="BT342" t="str">
        <f>HYPERLINK("https%3A%2F%2Fwww.webofscience.com%2Fwos%2Fwoscc%2Ffull-record%2FWOS:000174627000009","View Full Record in Web of Science")</f>
        <v>View Full Record in Web of Science</v>
      </c>
    </row>
    <row r="343" spans="1:72" x14ac:dyDescent="0.15">
      <c r="A343" t="s">
        <v>72</v>
      </c>
      <c r="B343" t="s">
        <v>5058</v>
      </c>
      <c r="C343" t="s">
        <v>74</v>
      </c>
      <c r="D343" t="s">
        <v>74</v>
      </c>
      <c r="E343" t="s">
        <v>74</v>
      </c>
      <c r="F343" t="s">
        <v>5058</v>
      </c>
      <c r="G343" t="s">
        <v>74</v>
      </c>
      <c r="H343" t="s">
        <v>74</v>
      </c>
      <c r="I343" t="s">
        <v>5059</v>
      </c>
      <c r="J343" t="s">
        <v>750</v>
      </c>
      <c r="K343" t="s">
        <v>74</v>
      </c>
      <c r="L343" t="s">
        <v>74</v>
      </c>
      <c r="M343" t="s">
        <v>77</v>
      </c>
      <c r="N343" t="s">
        <v>153</v>
      </c>
      <c r="O343" t="s">
        <v>74</v>
      </c>
      <c r="P343" t="s">
        <v>74</v>
      </c>
      <c r="Q343" t="s">
        <v>74</v>
      </c>
      <c r="R343" t="s">
        <v>74</v>
      </c>
      <c r="S343" t="s">
        <v>74</v>
      </c>
      <c r="T343" t="s">
        <v>5060</v>
      </c>
      <c r="U343" t="s">
        <v>5061</v>
      </c>
      <c r="V343" t="s">
        <v>5062</v>
      </c>
      <c r="W343" t="s">
        <v>5063</v>
      </c>
      <c r="X343" t="s">
        <v>5064</v>
      </c>
      <c r="Y343" t="s">
        <v>5065</v>
      </c>
      <c r="Z343" t="s">
        <v>5066</v>
      </c>
      <c r="AA343" t="s">
        <v>74</v>
      </c>
      <c r="AB343" t="s">
        <v>5067</v>
      </c>
      <c r="AC343" t="s">
        <v>74</v>
      </c>
      <c r="AD343" t="s">
        <v>74</v>
      </c>
      <c r="AE343" t="s">
        <v>74</v>
      </c>
      <c r="AF343" t="s">
        <v>74</v>
      </c>
      <c r="AG343">
        <v>23</v>
      </c>
      <c r="AH343">
        <v>9</v>
      </c>
      <c r="AI343">
        <v>10</v>
      </c>
      <c r="AJ343">
        <v>0</v>
      </c>
      <c r="AK343">
        <v>1</v>
      </c>
      <c r="AL343" t="s">
        <v>753</v>
      </c>
      <c r="AM343" t="s">
        <v>195</v>
      </c>
      <c r="AN343" t="s">
        <v>803</v>
      </c>
      <c r="AO343" t="s">
        <v>755</v>
      </c>
      <c r="AP343" t="s">
        <v>804</v>
      </c>
      <c r="AQ343" t="s">
        <v>74</v>
      </c>
      <c r="AR343" t="s">
        <v>756</v>
      </c>
      <c r="AS343" t="s">
        <v>757</v>
      </c>
      <c r="AT343" t="s">
        <v>4953</v>
      </c>
      <c r="AU343">
        <v>2002</v>
      </c>
      <c r="AV343">
        <v>14</v>
      </c>
      <c r="AW343">
        <v>1</v>
      </c>
      <c r="AX343" t="s">
        <v>74</v>
      </c>
      <c r="AY343" t="s">
        <v>74</v>
      </c>
      <c r="AZ343" t="s">
        <v>74</v>
      </c>
      <c r="BA343" t="s">
        <v>74</v>
      </c>
      <c r="BB343">
        <v>69</v>
      </c>
      <c r="BC343">
        <v>73</v>
      </c>
      <c r="BD343" t="s">
        <v>74</v>
      </c>
      <c r="BE343" t="s">
        <v>5068</v>
      </c>
      <c r="BF343" t="str">
        <f>HYPERLINK("http://dx.doi.org/10.1017/S0954102002000597","http://dx.doi.org/10.1017/S0954102002000597")</f>
        <v>http://dx.doi.org/10.1017/S0954102002000597</v>
      </c>
      <c r="BG343" t="s">
        <v>74</v>
      </c>
      <c r="BH343" t="s">
        <v>74</v>
      </c>
      <c r="BI343">
        <v>5</v>
      </c>
      <c r="BJ343" t="s">
        <v>759</v>
      </c>
      <c r="BK343" t="s">
        <v>170</v>
      </c>
      <c r="BL343" t="s">
        <v>760</v>
      </c>
      <c r="BM343" t="s">
        <v>4972</v>
      </c>
      <c r="BN343" t="s">
        <v>74</v>
      </c>
      <c r="BO343" t="s">
        <v>74</v>
      </c>
      <c r="BP343" t="s">
        <v>74</v>
      </c>
      <c r="BQ343" t="s">
        <v>74</v>
      </c>
      <c r="BR343" t="s">
        <v>107</v>
      </c>
      <c r="BS343" t="s">
        <v>5069</v>
      </c>
      <c r="BT343" t="str">
        <f>HYPERLINK("https%3A%2F%2Fwww.webofscience.com%2Fwos%2Fwoscc%2Ffull-record%2FWOS:000174627000010","View Full Record in Web of Science")</f>
        <v>View Full Record in Web of Science</v>
      </c>
    </row>
    <row r="344" spans="1:72" x14ac:dyDescent="0.15">
      <c r="A344" t="s">
        <v>72</v>
      </c>
      <c r="B344" t="s">
        <v>5070</v>
      </c>
      <c r="C344" t="s">
        <v>74</v>
      </c>
      <c r="D344" t="s">
        <v>74</v>
      </c>
      <c r="E344" t="s">
        <v>74</v>
      </c>
      <c r="F344" t="s">
        <v>5070</v>
      </c>
      <c r="G344" t="s">
        <v>74</v>
      </c>
      <c r="H344" t="s">
        <v>74</v>
      </c>
      <c r="I344" t="s">
        <v>5071</v>
      </c>
      <c r="J344" t="s">
        <v>750</v>
      </c>
      <c r="K344" t="s">
        <v>74</v>
      </c>
      <c r="L344" t="s">
        <v>74</v>
      </c>
      <c r="M344" t="s">
        <v>77</v>
      </c>
      <c r="N344" t="s">
        <v>153</v>
      </c>
      <c r="O344" t="s">
        <v>74</v>
      </c>
      <c r="P344" t="s">
        <v>74</v>
      </c>
      <c r="Q344" t="s">
        <v>74</v>
      </c>
      <c r="R344" t="s">
        <v>74</v>
      </c>
      <c r="S344" t="s">
        <v>74</v>
      </c>
      <c r="T344" t="s">
        <v>5072</v>
      </c>
      <c r="U344" t="s">
        <v>5073</v>
      </c>
      <c r="V344" t="s">
        <v>5074</v>
      </c>
      <c r="W344" t="s">
        <v>5075</v>
      </c>
      <c r="X344" t="s">
        <v>5076</v>
      </c>
      <c r="Y344" t="s">
        <v>5077</v>
      </c>
      <c r="Z344" t="s">
        <v>74</v>
      </c>
      <c r="AA344" t="s">
        <v>74</v>
      </c>
      <c r="AB344" t="s">
        <v>5078</v>
      </c>
      <c r="AC344" t="s">
        <v>74</v>
      </c>
      <c r="AD344" t="s">
        <v>74</v>
      </c>
      <c r="AE344" t="s">
        <v>74</v>
      </c>
      <c r="AF344" t="s">
        <v>74</v>
      </c>
      <c r="AG344">
        <v>20</v>
      </c>
      <c r="AH344">
        <v>10</v>
      </c>
      <c r="AI344">
        <v>10</v>
      </c>
      <c r="AJ344">
        <v>1</v>
      </c>
      <c r="AK344">
        <v>9</v>
      </c>
      <c r="AL344" t="s">
        <v>753</v>
      </c>
      <c r="AM344" t="s">
        <v>195</v>
      </c>
      <c r="AN344" t="s">
        <v>754</v>
      </c>
      <c r="AO344" t="s">
        <v>755</v>
      </c>
      <c r="AP344" t="s">
        <v>74</v>
      </c>
      <c r="AQ344" t="s">
        <v>74</v>
      </c>
      <c r="AR344" t="s">
        <v>756</v>
      </c>
      <c r="AS344" t="s">
        <v>757</v>
      </c>
      <c r="AT344" t="s">
        <v>4953</v>
      </c>
      <c r="AU344">
        <v>2002</v>
      </c>
      <c r="AV344">
        <v>14</v>
      </c>
      <c r="AW344">
        <v>1</v>
      </c>
      <c r="AX344" t="s">
        <v>74</v>
      </c>
      <c r="AY344" t="s">
        <v>74</v>
      </c>
      <c r="AZ344" t="s">
        <v>74</v>
      </c>
      <c r="BA344" t="s">
        <v>74</v>
      </c>
      <c r="BB344">
        <v>74</v>
      </c>
      <c r="BC344">
        <v>82</v>
      </c>
      <c r="BD344" t="s">
        <v>74</v>
      </c>
      <c r="BE344" t="s">
        <v>5079</v>
      </c>
      <c r="BF344" t="str">
        <f>HYPERLINK("http://dx.doi.org/10.1017/S0954102002000603","http://dx.doi.org/10.1017/S0954102002000603")</f>
        <v>http://dx.doi.org/10.1017/S0954102002000603</v>
      </c>
      <c r="BG344" t="s">
        <v>74</v>
      </c>
      <c r="BH344" t="s">
        <v>74</v>
      </c>
      <c r="BI344">
        <v>9</v>
      </c>
      <c r="BJ344" t="s">
        <v>759</v>
      </c>
      <c r="BK344" t="s">
        <v>170</v>
      </c>
      <c r="BL344" t="s">
        <v>760</v>
      </c>
      <c r="BM344" t="s">
        <v>4972</v>
      </c>
      <c r="BN344" t="s">
        <v>74</v>
      </c>
      <c r="BO344" t="s">
        <v>74</v>
      </c>
      <c r="BP344" t="s">
        <v>74</v>
      </c>
      <c r="BQ344" t="s">
        <v>74</v>
      </c>
      <c r="BR344" t="s">
        <v>107</v>
      </c>
      <c r="BS344" t="s">
        <v>5080</v>
      </c>
      <c r="BT344" t="str">
        <f>HYPERLINK("https%3A%2F%2Fwww.webofscience.com%2Fwos%2Fwoscc%2Ffull-record%2FWOS:000174627000011","View Full Record in Web of Science")</f>
        <v>View Full Record in Web of Science</v>
      </c>
    </row>
    <row r="345" spans="1:72" x14ac:dyDescent="0.15">
      <c r="A345" t="s">
        <v>72</v>
      </c>
      <c r="B345" t="s">
        <v>5081</v>
      </c>
      <c r="C345" t="s">
        <v>74</v>
      </c>
      <c r="D345" t="s">
        <v>74</v>
      </c>
      <c r="E345" t="s">
        <v>74</v>
      </c>
      <c r="F345" t="s">
        <v>5081</v>
      </c>
      <c r="G345" t="s">
        <v>74</v>
      </c>
      <c r="H345" t="s">
        <v>74</v>
      </c>
      <c r="I345" t="s">
        <v>5082</v>
      </c>
      <c r="J345" t="s">
        <v>750</v>
      </c>
      <c r="K345" t="s">
        <v>74</v>
      </c>
      <c r="L345" t="s">
        <v>74</v>
      </c>
      <c r="M345" t="s">
        <v>77</v>
      </c>
      <c r="N345" t="s">
        <v>153</v>
      </c>
      <c r="O345" t="s">
        <v>74</v>
      </c>
      <c r="P345" t="s">
        <v>74</v>
      </c>
      <c r="Q345" t="s">
        <v>74</v>
      </c>
      <c r="R345" t="s">
        <v>74</v>
      </c>
      <c r="S345" t="s">
        <v>74</v>
      </c>
      <c r="T345" t="s">
        <v>5083</v>
      </c>
      <c r="U345" t="s">
        <v>5084</v>
      </c>
      <c r="V345" t="s">
        <v>5085</v>
      </c>
      <c r="W345" t="s">
        <v>5086</v>
      </c>
      <c r="X345" t="s">
        <v>5087</v>
      </c>
      <c r="Y345" t="s">
        <v>5088</v>
      </c>
      <c r="Z345" t="s">
        <v>74</v>
      </c>
      <c r="AA345" t="s">
        <v>74</v>
      </c>
      <c r="AB345" t="s">
        <v>74</v>
      </c>
      <c r="AC345" t="s">
        <v>74</v>
      </c>
      <c r="AD345" t="s">
        <v>74</v>
      </c>
      <c r="AE345" t="s">
        <v>74</v>
      </c>
      <c r="AF345" t="s">
        <v>74</v>
      </c>
      <c r="AG345">
        <v>26</v>
      </c>
      <c r="AH345">
        <v>31</v>
      </c>
      <c r="AI345">
        <v>35</v>
      </c>
      <c r="AJ345">
        <v>0</v>
      </c>
      <c r="AK345">
        <v>5</v>
      </c>
      <c r="AL345" t="s">
        <v>753</v>
      </c>
      <c r="AM345" t="s">
        <v>195</v>
      </c>
      <c r="AN345" t="s">
        <v>803</v>
      </c>
      <c r="AO345" t="s">
        <v>755</v>
      </c>
      <c r="AP345" t="s">
        <v>804</v>
      </c>
      <c r="AQ345" t="s">
        <v>74</v>
      </c>
      <c r="AR345" t="s">
        <v>756</v>
      </c>
      <c r="AS345" t="s">
        <v>757</v>
      </c>
      <c r="AT345" t="s">
        <v>4953</v>
      </c>
      <c r="AU345">
        <v>2002</v>
      </c>
      <c r="AV345">
        <v>14</v>
      </c>
      <c r="AW345">
        <v>1</v>
      </c>
      <c r="AX345" t="s">
        <v>74</v>
      </c>
      <c r="AY345" t="s">
        <v>74</v>
      </c>
      <c r="AZ345" t="s">
        <v>74</v>
      </c>
      <c r="BA345" t="s">
        <v>74</v>
      </c>
      <c r="BB345">
        <v>83</v>
      </c>
      <c r="BC345">
        <v>92</v>
      </c>
      <c r="BD345" t="s">
        <v>74</v>
      </c>
      <c r="BE345" t="s">
        <v>5089</v>
      </c>
      <c r="BF345" t="str">
        <f>HYPERLINK("http://dx.doi.org/10.1017/S0954102002000615","http://dx.doi.org/10.1017/S0954102002000615")</f>
        <v>http://dx.doi.org/10.1017/S0954102002000615</v>
      </c>
      <c r="BG345" t="s">
        <v>74</v>
      </c>
      <c r="BH345" t="s">
        <v>74</v>
      </c>
      <c r="BI345">
        <v>10</v>
      </c>
      <c r="BJ345" t="s">
        <v>759</v>
      </c>
      <c r="BK345" t="s">
        <v>170</v>
      </c>
      <c r="BL345" t="s">
        <v>760</v>
      </c>
      <c r="BM345" t="s">
        <v>4972</v>
      </c>
      <c r="BN345" t="s">
        <v>74</v>
      </c>
      <c r="BO345" t="s">
        <v>74</v>
      </c>
      <c r="BP345" t="s">
        <v>74</v>
      </c>
      <c r="BQ345" t="s">
        <v>74</v>
      </c>
      <c r="BR345" t="s">
        <v>107</v>
      </c>
      <c r="BS345" t="s">
        <v>5090</v>
      </c>
      <c r="BT345" t="str">
        <f>HYPERLINK("https%3A%2F%2Fwww.webofscience.com%2Fwos%2Fwoscc%2Ffull-record%2FWOS:000174627000012","View Full Record in Web of Science")</f>
        <v>View Full Record in Web of Science</v>
      </c>
    </row>
    <row r="346" spans="1:72" x14ac:dyDescent="0.15">
      <c r="A346" t="s">
        <v>72</v>
      </c>
      <c r="B346" t="s">
        <v>5091</v>
      </c>
      <c r="C346" t="s">
        <v>74</v>
      </c>
      <c r="D346" t="s">
        <v>74</v>
      </c>
      <c r="E346" t="s">
        <v>74</v>
      </c>
      <c r="F346" t="s">
        <v>5091</v>
      </c>
      <c r="G346" t="s">
        <v>74</v>
      </c>
      <c r="H346" t="s">
        <v>74</v>
      </c>
      <c r="I346" t="s">
        <v>5092</v>
      </c>
      <c r="J346" t="s">
        <v>750</v>
      </c>
      <c r="K346" t="s">
        <v>74</v>
      </c>
      <c r="L346" t="s">
        <v>74</v>
      </c>
      <c r="M346" t="s">
        <v>77</v>
      </c>
      <c r="N346" t="s">
        <v>153</v>
      </c>
      <c r="O346" t="s">
        <v>74</v>
      </c>
      <c r="P346" t="s">
        <v>74</v>
      </c>
      <c r="Q346" t="s">
        <v>74</v>
      </c>
      <c r="R346" t="s">
        <v>74</v>
      </c>
      <c r="S346" t="s">
        <v>74</v>
      </c>
      <c r="T346" t="s">
        <v>5093</v>
      </c>
      <c r="U346" t="s">
        <v>5094</v>
      </c>
      <c r="V346" t="s">
        <v>5095</v>
      </c>
      <c r="W346" t="s">
        <v>5096</v>
      </c>
      <c r="X346" t="s">
        <v>5097</v>
      </c>
      <c r="Y346" t="s">
        <v>5098</v>
      </c>
      <c r="Z346" t="s">
        <v>5099</v>
      </c>
      <c r="AA346" t="s">
        <v>5100</v>
      </c>
      <c r="AB346" t="s">
        <v>5101</v>
      </c>
      <c r="AC346" t="s">
        <v>74</v>
      </c>
      <c r="AD346" t="s">
        <v>74</v>
      </c>
      <c r="AE346" t="s">
        <v>74</v>
      </c>
      <c r="AF346" t="s">
        <v>74</v>
      </c>
      <c r="AG346">
        <v>42</v>
      </c>
      <c r="AH346">
        <v>4</v>
      </c>
      <c r="AI346">
        <v>4</v>
      </c>
      <c r="AJ346">
        <v>1</v>
      </c>
      <c r="AK346">
        <v>3</v>
      </c>
      <c r="AL346" t="s">
        <v>753</v>
      </c>
      <c r="AM346" t="s">
        <v>195</v>
      </c>
      <c r="AN346" t="s">
        <v>803</v>
      </c>
      <c r="AO346" t="s">
        <v>755</v>
      </c>
      <c r="AP346" t="s">
        <v>804</v>
      </c>
      <c r="AQ346" t="s">
        <v>74</v>
      </c>
      <c r="AR346" t="s">
        <v>756</v>
      </c>
      <c r="AS346" t="s">
        <v>757</v>
      </c>
      <c r="AT346" t="s">
        <v>4953</v>
      </c>
      <c r="AU346">
        <v>2002</v>
      </c>
      <c r="AV346">
        <v>14</v>
      </c>
      <c r="AW346">
        <v>1</v>
      </c>
      <c r="AX346" t="s">
        <v>74</v>
      </c>
      <c r="AY346" t="s">
        <v>74</v>
      </c>
      <c r="AZ346" t="s">
        <v>74</v>
      </c>
      <c r="BA346" t="s">
        <v>74</v>
      </c>
      <c r="BB346">
        <v>93</v>
      </c>
      <c r="BC346">
        <v>103</v>
      </c>
      <c r="BD346" t="s">
        <v>74</v>
      </c>
      <c r="BE346" t="s">
        <v>5102</v>
      </c>
      <c r="BF346" t="str">
        <f>HYPERLINK("http://dx.doi.org/10.1017/S0954102002000627","http://dx.doi.org/10.1017/S0954102002000627")</f>
        <v>http://dx.doi.org/10.1017/S0954102002000627</v>
      </c>
      <c r="BG346" t="s">
        <v>74</v>
      </c>
      <c r="BH346" t="s">
        <v>74</v>
      </c>
      <c r="BI346">
        <v>11</v>
      </c>
      <c r="BJ346" t="s">
        <v>759</v>
      </c>
      <c r="BK346" t="s">
        <v>170</v>
      </c>
      <c r="BL346" t="s">
        <v>760</v>
      </c>
      <c r="BM346" t="s">
        <v>4972</v>
      </c>
      <c r="BN346" t="s">
        <v>74</v>
      </c>
      <c r="BO346" t="s">
        <v>74</v>
      </c>
      <c r="BP346" t="s">
        <v>74</v>
      </c>
      <c r="BQ346" t="s">
        <v>74</v>
      </c>
      <c r="BR346" t="s">
        <v>107</v>
      </c>
      <c r="BS346" t="s">
        <v>5103</v>
      </c>
      <c r="BT346" t="str">
        <f>HYPERLINK("https%3A%2F%2Fwww.webofscience.com%2Fwos%2Fwoscc%2Ffull-record%2FWOS:000174627000013","View Full Record in Web of Science")</f>
        <v>View Full Record in Web of Science</v>
      </c>
    </row>
    <row r="347" spans="1:72" x14ac:dyDescent="0.15">
      <c r="A347" t="s">
        <v>72</v>
      </c>
      <c r="B347" t="s">
        <v>5104</v>
      </c>
      <c r="C347" t="s">
        <v>74</v>
      </c>
      <c r="D347" t="s">
        <v>74</v>
      </c>
      <c r="E347" t="s">
        <v>74</v>
      </c>
      <c r="F347" t="s">
        <v>5104</v>
      </c>
      <c r="G347" t="s">
        <v>74</v>
      </c>
      <c r="H347" t="s">
        <v>74</v>
      </c>
      <c r="I347" t="s">
        <v>5105</v>
      </c>
      <c r="J347" t="s">
        <v>867</v>
      </c>
      <c r="K347" t="s">
        <v>74</v>
      </c>
      <c r="L347" t="s">
        <v>74</v>
      </c>
      <c r="M347" t="s">
        <v>77</v>
      </c>
      <c r="N347" t="s">
        <v>153</v>
      </c>
      <c r="O347" t="s">
        <v>74</v>
      </c>
      <c r="P347" t="s">
        <v>74</v>
      </c>
      <c r="Q347" t="s">
        <v>74</v>
      </c>
      <c r="R347" t="s">
        <v>74</v>
      </c>
      <c r="S347" t="s">
        <v>74</v>
      </c>
      <c r="T347" t="s">
        <v>74</v>
      </c>
      <c r="U347" t="s">
        <v>5106</v>
      </c>
      <c r="V347" t="s">
        <v>5107</v>
      </c>
      <c r="W347" t="s">
        <v>5108</v>
      </c>
      <c r="X347" t="s">
        <v>5109</v>
      </c>
      <c r="Y347" t="s">
        <v>5110</v>
      </c>
      <c r="Z347" t="s">
        <v>5111</v>
      </c>
      <c r="AA347" t="s">
        <v>5112</v>
      </c>
      <c r="AB347" t="s">
        <v>5113</v>
      </c>
      <c r="AC347" t="s">
        <v>74</v>
      </c>
      <c r="AD347" t="s">
        <v>74</v>
      </c>
      <c r="AE347" t="s">
        <v>74</v>
      </c>
      <c r="AF347" t="s">
        <v>74</v>
      </c>
      <c r="AG347">
        <v>36</v>
      </c>
      <c r="AH347">
        <v>110</v>
      </c>
      <c r="AI347">
        <v>125</v>
      </c>
      <c r="AJ347">
        <v>0</v>
      </c>
      <c r="AK347">
        <v>19</v>
      </c>
      <c r="AL347" t="s">
        <v>874</v>
      </c>
      <c r="AM347" t="s">
        <v>162</v>
      </c>
      <c r="AN347" t="s">
        <v>875</v>
      </c>
      <c r="AO347" t="s">
        <v>876</v>
      </c>
      <c r="AP347" t="s">
        <v>5114</v>
      </c>
      <c r="AQ347" t="s">
        <v>74</v>
      </c>
      <c r="AR347" t="s">
        <v>877</v>
      </c>
      <c r="AS347" t="s">
        <v>878</v>
      </c>
      <c r="AT347" t="s">
        <v>4953</v>
      </c>
      <c r="AU347">
        <v>2002</v>
      </c>
      <c r="AV347">
        <v>68</v>
      </c>
      <c r="AW347">
        <v>3</v>
      </c>
      <c r="AX347" t="s">
        <v>74</v>
      </c>
      <c r="AY347" t="s">
        <v>74</v>
      </c>
      <c r="AZ347" t="s">
        <v>74</v>
      </c>
      <c r="BA347" t="s">
        <v>74</v>
      </c>
      <c r="BB347">
        <v>1290</v>
      </c>
      <c r="BC347">
        <v>1296</v>
      </c>
      <c r="BD347" t="s">
        <v>74</v>
      </c>
      <c r="BE347" t="s">
        <v>5115</v>
      </c>
      <c r="BF347" t="str">
        <f>HYPERLINK("http://dx.doi.org/10.1128/AEM.68.3.1290-1296.2002","http://dx.doi.org/10.1128/AEM.68.3.1290-1296.2002")</f>
        <v>http://dx.doi.org/10.1128/AEM.68.3.1290-1296.2002</v>
      </c>
      <c r="BG347" t="s">
        <v>74</v>
      </c>
      <c r="BH347" t="s">
        <v>74</v>
      </c>
      <c r="BI347">
        <v>7</v>
      </c>
      <c r="BJ347" t="s">
        <v>880</v>
      </c>
      <c r="BK347" t="s">
        <v>170</v>
      </c>
      <c r="BL347" t="s">
        <v>880</v>
      </c>
      <c r="BM347" t="s">
        <v>5116</v>
      </c>
      <c r="BN347">
        <v>11872479</v>
      </c>
      <c r="BO347" t="s">
        <v>106</v>
      </c>
      <c r="BP347" t="s">
        <v>74</v>
      </c>
      <c r="BQ347" t="s">
        <v>74</v>
      </c>
      <c r="BR347" t="s">
        <v>107</v>
      </c>
      <c r="BS347" t="s">
        <v>5117</v>
      </c>
      <c r="BT347" t="str">
        <f>HYPERLINK("https%3A%2F%2Fwww.webofscience.com%2Fwos%2Fwoscc%2Ffull-record%2FWOS:000174206200035","View Full Record in Web of Science")</f>
        <v>View Full Record in Web of Science</v>
      </c>
    </row>
    <row r="348" spans="1:72" x14ac:dyDescent="0.15">
      <c r="A348" t="s">
        <v>72</v>
      </c>
      <c r="B348" t="s">
        <v>5118</v>
      </c>
      <c r="C348" t="s">
        <v>74</v>
      </c>
      <c r="D348" t="s">
        <v>74</v>
      </c>
      <c r="E348" t="s">
        <v>74</v>
      </c>
      <c r="F348" t="s">
        <v>5118</v>
      </c>
      <c r="G348" t="s">
        <v>74</v>
      </c>
      <c r="H348" t="s">
        <v>74</v>
      </c>
      <c r="I348" t="s">
        <v>5119</v>
      </c>
      <c r="J348" t="s">
        <v>867</v>
      </c>
      <c r="K348" t="s">
        <v>74</v>
      </c>
      <c r="L348" t="s">
        <v>74</v>
      </c>
      <c r="M348" t="s">
        <v>77</v>
      </c>
      <c r="N348" t="s">
        <v>153</v>
      </c>
      <c r="O348" t="s">
        <v>74</v>
      </c>
      <c r="P348" t="s">
        <v>74</v>
      </c>
      <c r="Q348" t="s">
        <v>74</v>
      </c>
      <c r="R348" t="s">
        <v>74</v>
      </c>
      <c r="S348" t="s">
        <v>74</v>
      </c>
      <c r="T348" t="s">
        <v>74</v>
      </c>
      <c r="U348" t="s">
        <v>5120</v>
      </c>
      <c r="V348" t="s">
        <v>5121</v>
      </c>
      <c r="W348" t="s">
        <v>5122</v>
      </c>
      <c r="X348" t="s">
        <v>5123</v>
      </c>
      <c r="Y348" t="s">
        <v>5124</v>
      </c>
      <c r="Z348" t="s">
        <v>5125</v>
      </c>
      <c r="AA348" t="s">
        <v>74</v>
      </c>
      <c r="AB348" t="s">
        <v>74</v>
      </c>
      <c r="AC348" t="s">
        <v>74</v>
      </c>
      <c r="AD348" t="s">
        <v>74</v>
      </c>
      <c r="AE348" t="s">
        <v>74</v>
      </c>
      <c r="AF348" t="s">
        <v>74</v>
      </c>
      <c r="AG348">
        <v>39</v>
      </c>
      <c r="AH348">
        <v>73</v>
      </c>
      <c r="AI348">
        <v>76</v>
      </c>
      <c r="AJ348">
        <v>1</v>
      </c>
      <c r="AK348">
        <v>11</v>
      </c>
      <c r="AL348" t="s">
        <v>874</v>
      </c>
      <c r="AM348" t="s">
        <v>162</v>
      </c>
      <c r="AN348" t="s">
        <v>875</v>
      </c>
      <c r="AO348" t="s">
        <v>876</v>
      </c>
      <c r="AP348" t="s">
        <v>5114</v>
      </c>
      <c r="AQ348" t="s">
        <v>74</v>
      </c>
      <c r="AR348" t="s">
        <v>877</v>
      </c>
      <c r="AS348" t="s">
        <v>878</v>
      </c>
      <c r="AT348" t="s">
        <v>4953</v>
      </c>
      <c r="AU348">
        <v>2002</v>
      </c>
      <c r="AV348">
        <v>68</v>
      </c>
      <c r="AW348">
        <v>3</v>
      </c>
      <c r="AX348" t="s">
        <v>74</v>
      </c>
      <c r="AY348" t="s">
        <v>74</v>
      </c>
      <c r="AZ348" t="s">
        <v>74</v>
      </c>
      <c r="BA348" t="s">
        <v>74</v>
      </c>
      <c r="BB348">
        <v>1478</v>
      </c>
      <c r="BC348">
        <v>1484</v>
      </c>
      <c r="BD348" t="s">
        <v>74</v>
      </c>
      <c r="BE348" t="s">
        <v>5126</v>
      </c>
      <c r="BF348" t="str">
        <f>HYPERLINK("http://dx.doi.org/10.1128/AEM.68.3.1478-1484.2002","http://dx.doi.org/10.1128/AEM.68.3.1478-1484.2002")</f>
        <v>http://dx.doi.org/10.1128/AEM.68.3.1478-1484.2002</v>
      </c>
      <c r="BG348" t="s">
        <v>74</v>
      </c>
      <c r="BH348" t="s">
        <v>74</v>
      </c>
      <c r="BI348">
        <v>7</v>
      </c>
      <c r="BJ348" t="s">
        <v>880</v>
      </c>
      <c r="BK348" t="s">
        <v>170</v>
      </c>
      <c r="BL348" t="s">
        <v>880</v>
      </c>
      <c r="BM348" t="s">
        <v>5116</v>
      </c>
      <c r="BN348">
        <v>11872506</v>
      </c>
      <c r="BO348" t="s">
        <v>106</v>
      </c>
      <c r="BP348" t="s">
        <v>74</v>
      </c>
      <c r="BQ348" t="s">
        <v>74</v>
      </c>
      <c r="BR348" t="s">
        <v>107</v>
      </c>
      <c r="BS348" t="s">
        <v>5127</v>
      </c>
      <c r="BT348" t="str">
        <f>HYPERLINK("https%3A%2F%2Fwww.webofscience.com%2Fwos%2Fwoscc%2Ffull-record%2FWOS:000174206200062","View Full Record in Web of Science")</f>
        <v>View Full Record in Web of Science</v>
      </c>
    </row>
    <row r="349" spans="1:72" x14ac:dyDescent="0.15">
      <c r="A349" t="s">
        <v>72</v>
      </c>
      <c r="B349" t="s">
        <v>5128</v>
      </c>
      <c r="C349" t="s">
        <v>74</v>
      </c>
      <c r="D349" t="s">
        <v>74</v>
      </c>
      <c r="E349" t="s">
        <v>74</v>
      </c>
      <c r="F349" t="s">
        <v>5128</v>
      </c>
      <c r="G349" t="s">
        <v>74</v>
      </c>
      <c r="H349" t="s">
        <v>74</v>
      </c>
      <c r="I349" t="s">
        <v>5129</v>
      </c>
      <c r="J349" t="s">
        <v>5130</v>
      </c>
      <c r="K349" t="s">
        <v>74</v>
      </c>
      <c r="L349" t="s">
        <v>74</v>
      </c>
      <c r="M349" t="s">
        <v>77</v>
      </c>
      <c r="N349" t="s">
        <v>153</v>
      </c>
      <c r="O349" t="s">
        <v>74</v>
      </c>
      <c r="P349" t="s">
        <v>74</v>
      </c>
      <c r="Q349" t="s">
        <v>74</v>
      </c>
      <c r="R349" t="s">
        <v>74</v>
      </c>
      <c r="S349" t="s">
        <v>74</v>
      </c>
      <c r="T349" t="s">
        <v>74</v>
      </c>
      <c r="U349" t="s">
        <v>5131</v>
      </c>
      <c r="V349" t="s">
        <v>5132</v>
      </c>
      <c r="W349" t="s">
        <v>5133</v>
      </c>
      <c r="X349" t="s">
        <v>5134</v>
      </c>
      <c r="Y349" t="s">
        <v>5135</v>
      </c>
      <c r="Z349" t="s">
        <v>74</v>
      </c>
      <c r="AA349" t="s">
        <v>5136</v>
      </c>
      <c r="AB349" t="s">
        <v>5137</v>
      </c>
      <c r="AC349" t="s">
        <v>74</v>
      </c>
      <c r="AD349" t="s">
        <v>74</v>
      </c>
      <c r="AE349" t="s">
        <v>74</v>
      </c>
      <c r="AF349" t="s">
        <v>74</v>
      </c>
      <c r="AG349">
        <v>50</v>
      </c>
      <c r="AH349">
        <v>9</v>
      </c>
      <c r="AI349">
        <v>10</v>
      </c>
      <c r="AJ349">
        <v>0</v>
      </c>
      <c r="AK349">
        <v>5</v>
      </c>
      <c r="AL349" t="s">
        <v>5138</v>
      </c>
      <c r="AM349" t="s">
        <v>995</v>
      </c>
      <c r="AN349" t="s">
        <v>5139</v>
      </c>
      <c r="AO349" t="s">
        <v>5140</v>
      </c>
      <c r="AP349" t="s">
        <v>74</v>
      </c>
      <c r="AQ349" t="s">
        <v>74</v>
      </c>
      <c r="AR349" t="s">
        <v>5141</v>
      </c>
      <c r="AS349" t="s">
        <v>5142</v>
      </c>
      <c r="AT349" t="s">
        <v>4953</v>
      </c>
      <c r="AU349">
        <v>2002</v>
      </c>
      <c r="AV349">
        <v>40</v>
      </c>
      <c r="AW349">
        <v>1</v>
      </c>
      <c r="AX349" t="s">
        <v>74</v>
      </c>
      <c r="AY349" t="s">
        <v>74</v>
      </c>
      <c r="AZ349" t="s">
        <v>74</v>
      </c>
      <c r="BA349" t="s">
        <v>74</v>
      </c>
      <c r="BB349">
        <v>21</v>
      </c>
      <c r="BC349">
        <v>43</v>
      </c>
      <c r="BD349" t="s">
        <v>74</v>
      </c>
      <c r="BE349" t="s">
        <v>5143</v>
      </c>
      <c r="BF349" t="str">
        <f>HYPERLINK("http://dx.doi.org/10.3137/ao.400102","http://dx.doi.org/10.3137/ao.400102")</f>
        <v>http://dx.doi.org/10.3137/ao.400102</v>
      </c>
      <c r="BG349" t="s">
        <v>74</v>
      </c>
      <c r="BH349" t="s">
        <v>74</v>
      </c>
      <c r="BI349">
        <v>23</v>
      </c>
      <c r="BJ349" t="s">
        <v>5144</v>
      </c>
      <c r="BK349" t="s">
        <v>170</v>
      </c>
      <c r="BL349" t="s">
        <v>5144</v>
      </c>
      <c r="BM349" t="s">
        <v>5145</v>
      </c>
      <c r="BN349" t="s">
        <v>74</v>
      </c>
      <c r="BO349" t="s">
        <v>173</v>
      </c>
      <c r="BP349" t="s">
        <v>74</v>
      </c>
      <c r="BQ349" t="s">
        <v>74</v>
      </c>
      <c r="BR349" t="s">
        <v>107</v>
      </c>
      <c r="BS349" t="s">
        <v>5146</v>
      </c>
      <c r="BT349" t="str">
        <f>HYPERLINK("https%3A%2F%2Fwww.webofscience.com%2Fwos%2Fwoscc%2Ffull-record%2FWOS:000174384900002","View Full Record in Web of Science")</f>
        <v>View Full Record in Web of Science</v>
      </c>
    </row>
    <row r="350" spans="1:72" x14ac:dyDescent="0.15">
      <c r="A350" t="s">
        <v>72</v>
      </c>
      <c r="B350" t="s">
        <v>5147</v>
      </c>
      <c r="C350" t="s">
        <v>74</v>
      </c>
      <c r="D350" t="s">
        <v>74</v>
      </c>
      <c r="E350" t="s">
        <v>74</v>
      </c>
      <c r="F350" t="s">
        <v>5147</v>
      </c>
      <c r="G350" t="s">
        <v>74</v>
      </c>
      <c r="H350" t="s">
        <v>74</v>
      </c>
      <c r="I350" t="s">
        <v>5148</v>
      </c>
      <c r="J350" t="s">
        <v>987</v>
      </c>
      <c r="K350" t="s">
        <v>74</v>
      </c>
      <c r="L350" t="s">
        <v>74</v>
      </c>
      <c r="M350" t="s">
        <v>77</v>
      </c>
      <c r="N350" t="s">
        <v>153</v>
      </c>
      <c r="O350" t="s">
        <v>74</v>
      </c>
      <c r="P350" t="s">
        <v>74</v>
      </c>
      <c r="Q350" t="s">
        <v>74</v>
      </c>
      <c r="R350" t="s">
        <v>74</v>
      </c>
      <c r="S350" t="s">
        <v>74</v>
      </c>
      <c r="T350" t="s">
        <v>74</v>
      </c>
      <c r="U350" t="s">
        <v>5149</v>
      </c>
      <c r="V350" t="s">
        <v>5150</v>
      </c>
      <c r="W350" t="s">
        <v>767</v>
      </c>
      <c r="X350" t="s">
        <v>768</v>
      </c>
      <c r="Y350" t="s">
        <v>777</v>
      </c>
      <c r="Z350" t="s">
        <v>74</v>
      </c>
      <c r="AA350" t="s">
        <v>5151</v>
      </c>
      <c r="AB350" t="s">
        <v>5152</v>
      </c>
      <c r="AC350" t="s">
        <v>74</v>
      </c>
      <c r="AD350" t="s">
        <v>74</v>
      </c>
      <c r="AE350" t="s">
        <v>74</v>
      </c>
      <c r="AF350" t="s">
        <v>74</v>
      </c>
      <c r="AG350">
        <v>35</v>
      </c>
      <c r="AH350">
        <v>24</v>
      </c>
      <c r="AI350">
        <v>26</v>
      </c>
      <c r="AJ350">
        <v>0</v>
      </c>
      <c r="AK350">
        <v>8</v>
      </c>
      <c r="AL350" t="s">
        <v>994</v>
      </c>
      <c r="AM350" t="s">
        <v>995</v>
      </c>
      <c r="AN350" t="s">
        <v>996</v>
      </c>
      <c r="AO350" t="s">
        <v>997</v>
      </c>
      <c r="AP350" t="s">
        <v>74</v>
      </c>
      <c r="AQ350" t="s">
        <v>74</v>
      </c>
      <c r="AR350" t="s">
        <v>998</v>
      </c>
      <c r="AS350" t="s">
        <v>999</v>
      </c>
      <c r="AT350" t="s">
        <v>4953</v>
      </c>
      <c r="AU350">
        <v>2002</v>
      </c>
      <c r="AV350">
        <v>80</v>
      </c>
      <c r="AW350">
        <v>3</v>
      </c>
      <c r="AX350" t="s">
        <v>74</v>
      </c>
      <c r="AY350" t="s">
        <v>74</v>
      </c>
      <c r="AZ350" t="s">
        <v>74</v>
      </c>
      <c r="BA350" t="s">
        <v>74</v>
      </c>
      <c r="BB350">
        <v>395</v>
      </c>
      <c r="BC350">
        <v>401</v>
      </c>
      <c r="BD350" t="s">
        <v>74</v>
      </c>
      <c r="BE350" t="s">
        <v>5153</v>
      </c>
      <c r="BF350" t="str">
        <f>HYPERLINK("http://dx.doi.org/10.1139/Z02-017","http://dx.doi.org/10.1139/Z02-017")</f>
        <v>http://dx.doi.org/10.1139/Z02-017</v>
      </c>
      <c r="BG350" t="s">
        <v>74</v>
      </c>
      <c r="BH350" t="s">
        <v>74</v>
      </c>
      <c r="BI350">
        <v>7</v>
      </c>
      <c r="BJ350" t="s">
        <v>1001</v>
      </c>
      <c r="BK350" t="s">
        <v>170</v>
      </c>
      <c r="BL350" t="s">
        <v>1001</v>
      </c>
      <c r="BM350" t="s">
        <v>5154</v>
      </c>
      <c r="BN350" t="s">
        <v>74</v>
      </c>
      <c r="BO350" t="s">
        <v>74</v>
      </c>
      <c r="BP350" t="s">
        <v>74</v>
      </c>
      <c r="BQ350" t="s">
        <v>74</v>
      </c>
      <c r="BR350" t="s">
        <v>107</v>
      </c>
      <c r="BS350" t="s">
        <v>5155</v>
      </c>
      <c r="BT350" t="str">
        <f>HYPERLINK("https%3A%2F%2Fwww.webofscience.com%2Fwos%2Fwoscc%2Ffull-record%2FWOS:000175011400001","View Full Record in Web of Science")</f>
        <v>View Full Record in Web of Science</v>
      </c>
    </row>
    <row r="351" spans="1:72" x14ac:dyDescent="0.15">
      <c r="A351" t="s">
        <v>72</v>
      </c>
      <c r="B351" t="s">
        <v>5156</v>
      </c>
      <c r="C351" t="s">
        <v>74</v>
      </c>
      <c r="D351" t="s">
        <v>74</v>
      </c>
      <c r="E351" t="s">
        <v>74</v>
      </c>
      <c r="F351" t="s">
        <v>5156</v>
      </c>
      <c r="G351" t="s">
        <v>74</v>
      </c>
      <c r="H351" t="s">
        <v>74</v>
      </c>
      <c r="I351" t="s">
        <v>5157</v>
      </c>
      <c r="J351" t="s">
        <v>1006</v>
      </c>
      <c r="K351" t="s">
        <v>74</v>
      </c>
      <c r="L351" t="s">
        <v>74</v>
      </c>
      <c r="M351" t="s">
        <v>77</v>
      </c>
      <c r="N351" t="s">
        <v>947</v>
      </c>
      <c r="O351" t="s">
        <v>74</v>
      </c>
      <c r="P351" t="s">
        <v>74</v>
      </c>
      <c r="Q351" t="s">
        <v>74</v>
      </c>
      <c r="R351" t="s">
        <v>74</v>
      </c>
      <c r="S351" t="s">
        <v>74</v>
      </c>
      <c r="T351" t="s">
        <v>5158</v>
      </c>
      <c r="U351" t="s">
        <v>5159</v>
      </c>
      <c r="V351" t="s">
        <v>5160</v>
      </c>
      <c r="W351" t="s">
        <v>5161</v>
      </c>
      <c r="X351" t="s">
        <v>5162</v>
      </c>
      <c r="Y351" t="s">
        <v>74</v>
      </c>
      <c r="Z351" t="s">
        <v>5163</v>
      </c>
      <c r="AA351" t="s">
        <v>5164</v>
      </c>
      <c r="AB351" t="s">
        <v>5165</v>
      </c>
      <c r="AC351" t="s">
        <v>74</v>
      </c>
      <c r="AD351" t="s">
        <v>74</v>
      </c>
      <c r="AE351" t="s">
        <v>74</v>
      </c>
      <c r="AF351" t="s">
        <v>74</v>
      </c>
      <c r="AG351">
        <v>151</v>
      </c>
      <c r="AH351">
        <v>85</v>
      </c>
      <c r="AI351">
        <v>107</v>
      </c>
      <c r="AJ351">
        <v>4</v>
      </c>
      <c r="AK351">
        <v>43</v>
      </c>
      <c r="AL351" t="s">
        <v>1013</v>
      </c>
      <c r="AM351" t="s">
        <v>895</v>
      </c>
      <c r="AN351" t="s">
        <v>1014</v>
      </c>
      <c r="AO351" t="s">
        <v>1015</v>
      </c>
      <c r="AP351" t="s">
        <v>5166</v>
      </c>
      <c r="AQ351" t="s">
        <v>74</v>
      </c>
      <c r="AR351" t="s">
        <v>1006</v>
      </c>
      <c r="AS351" t="s">
        <v>1016</v>
      </c>
      <c r="AT351" t="s">
        <v>4953</v>
      </c>
      <c r="AU351">
        <v>2002</v>
      </c>
      <c r="AV351">
        <v>46</v>
      </c>
      <c r="AW351">
        <v>8</v>
      </c>
      <c r="AX351" t="s">
        <v>74</v>
      </c>
      <c r="AY351" t="s">
        <v>74</v>
      </c>
      <c r="AZ351" t="s">
        <v>74</v>
      </c>
      <c r="BA351" t="s">
        <v>74</v>
      </c>
      <c r="BB351">
        <v>1201</v>
      </c>
      <c r="BC351">
        <v>1210</v>
      </c>
      <c r="BD351" t="s">
        <v>5167</v>
      </c>
      <c r="BE351" t="s">
        <v>5168</v>
      </c>
      <c r="BF351" t="str">
        <f>HYPERLINK("http://dx.doi.org/10.1016/S0045-6535(01)00285-5","http://dx.doi.org/10.1016/S0045-6535(01)00285-5")</f>
        <v>http://dx.doi.org/10.1016/S0045-6535(01)00285-5</v>
      </c>
      <c r="BG351" t="s">
        <v>74</v>
      </c>
      <c r="BH351" t="s">
        <v>74</v>
      </c>
      <c r="BI351">
        <v>10</v>
      </c>
      <c r="BJ351" t="s">
        <v>1019</v>
      </c>
      <c r="BK351" t="s">
        <v>170</v>
      </c>
      <c r="BL351" t="s">
        <v>1020</v>
      </c>
      <c r="BM351" t="s">
        <v>5169</v>
      </c>
      <c r="BN351">
        <v>11951987</v>
      </c>
      <c r="BO351" t="s">
        <v>74</v>
      </c>
      <c r="BP351" t="s">
        <v>74</v>
      </c>
      <c r="BQ351" t="s">
        <v>74</v>
      </c>
      <c r="BR351" t="s">
        <v>107</v>
      </c>
      <c r="BS351" t="s">
        <v>5170</v>
      </c>
      <c r="BT351" t="str">
        <f>HYPERLINK("https%3A%2F%2Fwww.webofscience.com%2Fwos%2Fwoscc%2Ffull-record%2FWOS:000174632800008","View Full Record in Web of Science")</f>
        <v>View Full Record in Web of Science</v>
      </c>
    </row>
    <row r="352" spans="1:72" x14ac:dyDescent="0.15">
      <c r="A352" t="s">
        <v>72</v>
      </c>
      <c r="B352" t="s">
        <v>5171</v>
      </c>
      <c r="C352" t="s">
        <v>74</v>
      </c>
      <c r="D352" t="s">
        <v>74</v>
      </c>
      <c r="E352" t="s">
        <v>74</v>
      </c>
      <c r="F352" t="s">
        <v>5171</v>
      </c>
      <c r="G352" t="s">
        <v>74</v>
      </c>
      <c r="H352" t="s">
        <v>74</v>
      </c>
      <c r="I352" t="s">
        <v>5172</v>
      </c>
      <c r="J352" t="s">
        <v>1006</v>
      </c>
      <c r="K352" t="s">
        <v>74</v>
      </c>
      <c r="L352" t="s">
        <v>74</v>
      </c>
      <c r="M352" t="s">
        <v>77</v>
      </c>
      <c r="N352" t="s">
        <v>78</v>
      </c>
      <c r="O352" t="s">
        <v>5173</v>
      </c>
      <c r="P352" t="s">
        <v>5174</v>
      </c>
      <c r="Q352" t="s">
        <v>5175</v>
      </c>
      <c r="R352" t="s">
        <v>74</v>
      </c>
      <c r="S352" t="s">
        <v>74</v>
      </c>
      <c r="T352" t="s">
        <v>5176</v>
      </c>
      <c r="U352" t="s">
        <v>5177</v>
      </c>
      <c r="V352" t="s">
        <v>5178</v>
      </c>
      <c r="W352" t="s">
        <v>3887</v>
      </c>
      <c r="X352" t="s">
        <v>3888</v>
      </c>
      <c r="Y352" t="s">
        <v>3889</v>
      </c>
      <c r="Z352" t="s">
        <v>5179</v>
      </c>
      <c r="AA352" t="s">
        <v>74</v>
      </c>
      <c r="AB352" t="s">
        <v>74</v>
      </c>
      <c r="AC352" t="s">
        <v>74</v>
      </c>
      <c r="AD352" t="s">
        <v>74</v>
      </c>
      <c r="AE352" t="s">
        <v>74</v>
      </c>
      <c r="AF352" t="s">
        <v>74</v>
      </c>
      <c r="AG352">
        <v>22</v>
      </c>
      <c r="AH352">
        <v>19</v>
      </c>
      <c r="AI352">
        <v>22</v>
      </c>
      <c r="AJ352">
        <v>0</v>
      </c>
      <c r="AK352">
        <v>8</v>
      </c>
      <c r="AL352" t="s">
        <v>1013</v>
      </c>
      <c r="AM352" t="s">
        <v>895</v>
      </c>
      <c r="AN352" t="s">
        <v>1014</v>
      </c>
      <c r="AO352" t="s">
        <v>1015</v>
      </c>
      <c r="AP352" t="s">
        <v>5166</v>
      </c>
      <c r="AQ352" t="s">
        <v>74</v>
      </c>
      <c r="AR352" t="s">
        <v>1006</v>
      </c>
      <c r="AS352" t="s">
        <v>1016</v>
      </c>
      <c r="AT352" t="s">
        <v>4953</v>
      </c>
      <c r="AU352">
        <v>2002</v>
      </c>
      <c r="AV352">
        <v>46</v>
      </c>
      <c r="AW352" t="s">
        <v>5180</v>
      </c>
      <c r="AX352" t="s">
        <v>74</v>
      </c>
      <c r="AY352" t="s">
        <v>74</v>
      </c>
      <c r="AZ352" t="s">
        <v>99</v>
      </c>
      <c r="BA352" t="s">
        <v>74</v>
      </c>
      <c r="BB352">
        <v>1477</v>
      </c>
      <c r="BC352">
        <v>1483</v>
      </c>
      <c r="BD352" t="s">
        <v>5181</v>
      </c>
      <c r="BE352" t="s">
        <v>5182</v>
      </c>
      <c r="BF352" t="str">
        <f>HYPERLINK("http://dx.doi.org/10.1016/S0045-6535(01)00245-4","http://dx.doi.org/10.1016/S0045-6535(01)00245-4")</f>
        <v>http://dx.doi.org/10.1016/S0045-6535(01)00245-4</v>
      </c>
      <c r="BG352" t="s">
        <v>74</v>
      </c>
      <c r="BH352" t="s">
        <v>74</v>
      </c>
      <c r="BI352">
        <v>7</v>
      </c>
      <c r="BJ352" t="s">
        <v>1019</v>
      </c>
      <c r="BK352" t="s">
        <v>103</v>
      </c>
      <c r="BL352" t="s">
        <v>1020</v>
      </c>
      <c r="BM352" t="s">
        <v>5183</v>
      </c>
      <c r="BN352">
        <v>12002479</v>
      </c>
      <c r="BO352" t="s">
        <v>74</v>
      </c>
      <c r="BP352" t="s">
        <v>74</v>
      </c>
      <c r="BQ352" t="s">
        <v>74</v>
      </c>
      <c r="BR352" t="s">
        <v>107</v>
      </c>
      <c r="BS352" t="s">
        <v>5184</v>
      </c>
      <c r="BT352" t="str">
        <f>HYPERLINK("https%3A%2F%2Fwww.webofscience.com%2Fwos%2Fwoscc%2Ffull-record%2FWOS:000175042800033","View Full Record in Web of Science")</f>
        <v>View Full Record in Web of Science</v>
      </c>
    </row>
    <row r="353" spans="1:72" x14ac:dyDescent="0.15">
      <c r="A353" t="s">
        <v>72</v>
      </c>
      <c r="B353" t="s">
        <v>5185</v>
      </c>
      <c r="C353" t="s">
        <v>74</v>
      </c>
      <c r="D353" t="s">
        <v>74</v>
      </c>
      <c r="E353" t="s">
        <v>74</v>
      </c>
      <c r="F353" t="s">
        <v>5185</v>
      </c>
      <c r="G353" t="s">
        <v>74</v>
      </c>
      <c r="H353" t="s">
        <v>74</v>
      </c>
      <c r="I353" t="s">
        <v>5186</v>
      </c>
      <c r="J353" t="s">
        <v>3754</v>
      </c>
      <c r="K353" t="s">
        <v>74</v>
      </c>
      <c r="L353" t="s">
        <v>74</v>
      </c>
      <c r="M353" t="s">
        <v>77</v>
      </c>
      <c r="N353" t="s">
        <v>78</v>
      </c>
      <c r="O353" t="s">
        <v>5187</v>
      </c>
      <c r="P353" t="s">
        <v>5188</v>
      </c>
      <c r="Q353" t="s">
        <v>5189</v>
      </c>
      <c r="R353" t="s">
        <v>74</v>
      </c>
      <c r="S353" t="s">
        <v>74</v>
      </c>
      <c r="T353" t="s">
        <v>5190</v>
      </c>
      <c r="U353" t="s">
        <v>5191</v>
      </c>
      <c r="V353" t="s">
        <v>5192</v>
      </c>
      <c r="W353" t="s">
        <v>5193</v>
      </c>
      <c r="X353" t="s">
        <v>5194</v>
      </c>
      <c r="Y353" t="s">
        <v>5195</v>
      </c>
      <c r="Z353" t="s">
        <v>5196</v>
      </c>
      <c r="AA353" t="s">
        <v>5197</v>
      </c>
      <c r="AB353" t="s">
        <v>5198</v>
      </c>
      <c r="AC353" t="s">
        <v>74</v>
      </c>
      <c r="AD353" t="s">
        <v>74</v>
      </c>
      <c r="AE353" t="s">
        <v>74</v>
      </c>
      <c r="AF353" t="s">
        <v>74</v>
      </c>
      <c r="AG353">
        <v>22</v>
      </c>
      <c r="AH353">
        <v>19</v>
      </c>
      <c r="AI353">
        <v>22</v>
      </c>
      <c r="AJ353">
        <v>0</v>
      </c>
      <c r="AK353">
        <v>3</v>
      </c>
      <c r="AL353" t="s">
        <v>1068</v>
      </c>
      <c r="AM353" t="s">
        <v>195</v>
      </c>
      <c r="AN353" t="s">
        <v>1069</v>
      </c>
      <c r="AO353" t="s">
        <v>1070</v>
      </c>
      <c r="AP353" t="s">
        <v>3766</v>
      </c>
      <c r="AQ353" t="s">
        <v>74</v>
      </c>
      <c r="AR353" t="s">
        <v>1071</v>
      </c>
      <c r="AS353" t="s">
        <v>1072</v>
      </c>
      <c r="AT353" t="s">
        <v>4953</v>
      </c>
      <c r="AU353">
        <v>2002</v>
      </c>
      <c r="AV353">
        <v>131</v>
      </c>
      <c r="AW353">
        <v>3</v>
      </c>
      <c r="AX353" t="s">
        <v>74</v>
      </c>
      <c r="AY353" t="s">
        <v>74</v>
      </c>
      <c r="AZ353" t="s">
        <v>74</v>
      </c>
      <c r="BA353" t="s">
        <v>74</v>
      </c>
      <c r="BB353">
        <v>559</v>
      </c>
      <c r="BC353">
        <v>567</v>
      </c>
      <c r="BD353" t="s">
        <v>5199</v>
      </c>
      <c r="BE353" t="s">
        <v>5200</v>
      </c>
      <c r="BF353" t="str">
        <f>HYPERLINK("http://dx.doi.org/10.1016/S1095-6433(01)00507-4","http://dx.doi.org/10.1016/S1095-6433(01)00507-4")</f>
        <v>http://dx.doi.org/10.1016/S1095-6433(01)00507-4</v>
      </c>
      <c r="BG353" t="s">
        <v>74</v>
      </c>
      <c r="BH353" t="s">
        <v>74</v>
      </c>
      <c r="BI353">
        <v>9</v>
      </c>
      <c r="BJ353" t="s">
        <v>1075</v>
      </c>
      <c r="BK353" t="s">
        <v>103</v>
      </c>
      <c r="BL353" t="s">
        <v>1075</v>
      </c>
      <c r="BM353" t="s">
        <v>5201</v>
      </c>
      <c r="BN353">
        <v>11867281</v>
      </c>
      <c r="BO353" t="s">
        <v>74</v>
      </c>
      <c r="BP353" t="s">
        <v>74</v>
      </c>
      <c r="BQ353" t="s">
        <v>74</v>
      </c>
      <c r="BR353" t="s">
        <v>107</v>
      </c>
      <c r="BS353" t="s">
        <v>5202</v>
      </c>
      <c r="BT353" t="str">
        <f>HYPERLINK("https%3A%2F%2Fwww.webofscience.com%2Fwos%2Fwoscc%2Ffull-record%2FWOS:000174507800009","View Full Record in Web of Science")</f>
        <v>View Full Record in Web of Science</v>
      </c>
    </row>
    <row r="354" spans="1:72" x14ac:dyDescent="0.15">
      <c r="A354" t="s">
        <v>72</v>
      </c>
      <c r="B354" t="s">
        <v>5203</v>
      </c>
      <c r="C354" t="s">
        <v>74</v>
      </c>
      <c r="D354" t="s">
        <v>74</v>
      </c>
      <c r="E354" t="s">
        <v>74</v>
      </c>
      <c r="F354" t="s">
        <v>5203</v>
      </c>
      <c r="G354" t="s">
        <v>74</v>
      </c>
      <c r="H354" t="s">
        <v>74</v>
      </c>
      <c r="I354" t="s">
        <v>5204</v>
      </c>
      <c r="J354" t="s">
        <v>3773</v>
      </c>
      <c r="K354" t="s">
        <v>74</v>
      </c>
      <c r="L354" t="s">
        <v>74</v>
      </c>
      <c r="M354" t="s">
        <v>77</v>
      </c>
      <c r="N354" t="s">
        <v>153</v>
      </c>
      <c r="O354" t="s">
        <v>74</v>
      </c>
      <c r="P354" t="s">
        <v>74</v>
      </c>
      <c r="Q354" t="s">
        <v>74</v>
      </c>
      <c r="R354" t="s">
        <v>74</v>
      </c>
      <c r="S354" t="s">
        <v>74</v>
      </c>
      <c r="T354" t="s">
        <v>5205</v>
      </c>
      <c r="U354" t="s">
        <v>5206</v>
      </c>
      <c r="V354" t="s">
        <v>5207</v>
      </c>
      <c r="W354" t="s">
        <v>5208</v>
      </c>
      <c r="X354" t="s">
        <v>5209</v>
      </c>
      <c r="Y354" t="s">
        <v>5210</v>
      </c>
      <c r="Z354" t="s">
        <v>5211</v>
      </c>
      <c r="AA354" t="s">
        <v>5212</v>
      </c>
      <c r="AB354" t="s">
        <v>74</v>
      </c>
      <c r="AC354" t="s">
        <v>74</v>
      </c>
      <c r="AD354" t="s">
        <v>74</v>
      </c>
      <c r="AE354" t="s">
        <v>74</v>
      </c>
      <c r="AF354" t="s">
        <v>74</v>
      </c>
      <c r="AG354">
        <v>35</v>
      </c>
      <c r="AH354">
        <v>10</v>
      </c>
      <c r="AI354">
        <v>13</v>
      </c>
      <c r="AJ354">
        <v>1</v>
      </c>
      <c r="AK354">
        <v>5</v>
      </c>
      <c r="AL354" t="s">
        <v>1068</v>
      </c>
      <c r="AM354" t="s">
        <v>195</v>
      </c>
      <c r="AN354" t="s">
        <v>1741</v>
      </c>
      <c r="AO354" t="s">
        <v>3786</v>
      </c>
      <c r="AP354" t="s">
        <v>3787</v>
      </c>
      <c r="AQ354" t="s">
        <v>74</v>
      </c>
      <c r="AR354" t="s">
        <v>3788</v>
      </c>
      <c r="AS354" t="s">
        <v>3789</v>
      </c>
      <c r="AT354" t="s">
        <v>4953</v>
      </c>
      <c r="AU354">
        <v>2002</v>
      </c>
      <c r="AV354">
        <v>131</v>
      </c>
      <c r="AW354">
        <v>3</v>
      </c>
      <c r="AX354" t="s">
        <v>74</v>
      </c>
      <c r="AY354" t="s">
        <v>74</v>
      </c>
      <c r="AZ354" t="s">
        <v>74</v>
      </c>
      <c r="BA354" t="s">
        <v>74</v>
      </c>
      <c r="BB354">
        <v>349</v>
      </c>
      <c r="BC354">
        <v>359</v>
      </c>
      <c r="BD354" t="s">
        <v>5213</v>
      </c>
      <c r="BE354" t="s">
        <v>5214</v>
      </c>
      <c r="BF354" t="str">
        <f>HYPERLINK("http://dx.doi.org/10.1016/S1096-4959(01)00509-7","http://dx.doi.org/10.1016/S1096-4959(01)00509-7")</f>
        <v>http://dx.doi.org/10.1016/S1096-4959(01)00509-7</v>
      </c>
      <c r="BG354" t="s">
        <v>74</v>
      </c>
      <c r="BH354" t="s">
        <v>74</v>
      </c>
      <c r="BI354">
        <v>11</v>
      </c>
      <c r="BJ354" t="s">
        <v>3792</v>
      </c>
      <c r="BK354" t="s">
        <v>170</v>
      </c>
      <c r="BL354" t="s">
        <v>3792</v>
      </c>
      <c r="BM354" t="s">
        <v>5215</v>
      </c>
      <c r="BN354">
        <v>11959017</v>
      </c>
      <c r="BO354" t="s">
        <v>74</v>
      </c>
      <c r="BP354" t="s">
        <v>74</v>
      </c>
      <c r="BQ354" t="s">
        <v>74</v>
      </c>
      <c r="BR354" t="s">
        <v>107</v>
      </c>
      <c r="BS354" t="s">
        <v>5216</v>
      </c>
      <c r="BT354" t="str">
        <f>HYPERLINK("https%3A%2F%2Fwww.webofscience.com%2Fwos%2Fwoscc%2Ffull-record%2FWOS:000174537100006","View Full Record in Web of Science")</f>
        <v>View Full Record in Web of Science</v>
      </c>
    </row>
    <row r="355" spans="1:72" x14ac:dyDescent="0.15">
      <c r="A355" t="s">
        <v>72</v>
      </c>
      <c r="B355" t="s">
        <v>5217</v>
      </c>
      <c r="C355" t="s">
        <v>74</v>
      </c>
      <c r="D355" t="s">
        <v>74</v>
      </c>
      <c r="E355" t="s">
        <v>74</v>
      </c>
      <c r="F355" t="s">
        <v>5217</v>
      </c>
      <c r="G355" t="s">
        <v>74</v>
      </c>
      <c r="H355" t="s">
        <v>74</v>
      </c>
      <c r="I355" t="s">
        <v>5218</v>
      </c>
      <c r="J355" t="s">
        <v>1139</v>
      </c>
      <c r="K355" t="s">
        <v>74</v>
      </c>
      <c r="L355" t="s">
        <v>74</v>
      </c>
      <c r="M355" t="s">
        <v>77</v>
      </c>
      <c r="N355" t="s">
        <v>153</v>
      </c>
      <c r="O355" t="s">
        <v>74</v>
      </c>
      <c r="P355" t="s">
        <v>74</v>
      </c>
      <c r="Q355" t="s">
        <v>74</v>
      </c>
      <c r="R355" t="s">
        <v>74</v>
      </c>
      <c r="S355" t="s">
        <v>74</v>
      </c>
      <c r="T355" t="s">
        <v>5219</v>
      </c>
      <c r="U355" t="s">
        <v>5220</v>
      </c>
      <c r="V355" t="s">
        <v>5221</v>
      </c>
      <c r="W355" t="s">
        <v>5222</v>
      </c>
      <c r="X355" t="s">
        <v>5223</v>
      </c>
      <c r="Y355" t="s">
        <v>5224</v>
      </c>
      <c r="Z355" t="s">
        <v>74</v>
      </c>
      <c r="AA355" t="s">
        <v>74</v>
      </c>
      <c r="AB355" t="s">
        <v>74</v>
      </c>
      <c r="AC355" t="s">
        <v>74</v>
      </c>
      <c r="AD355" t="s">
        <v>74</v>
      </c>
      <c r="AE355" t="s">
        <v>74</v>
      </c>
      <c r="AF355" t="s">
        <v>74</v>
      </c>
      <c r="AG355">
        <v>60</v>
      </c>
      <c r="AH355">
        <v>10</v>
      </c>
      <c r="AI355">
        <v>15</v>
      </c>
      <c r="AJ355">
        <v>1</v>
      </c>
      <c r="AK355">
        <v>7</v>
      </c>
      <c r="AL355" t="s">
        <v>1013</v>
      </c>
      <c r="AM355" t="s">
        <v>895</v>
      </c>
      <c r="AN355" t="s">
        <v>1014</v>
      </c>
      <c r="AO355" t="s">
        <v>1149</v>
      </c>
      <c r="AP355" t="s">
        <v>74</v>
      </c>
      <c r="AQ355" t="s">
        <v>74</v>
      </c>
      <c r="AR355" t="s">
        <v>1151</v>
      </c>
      <c r="AS355" t="s">
        <v>1152</v>
      </c>
      <c r="AT355" t="s">
        <v>4953</v>
      </c>
      <c r="AU355">
        <v>2002</v>
      </c>
      <c r="AV355">
        <v>49</v>
      </c>
      <c r="AW355">
        <v>3</v>
      </c>
      <c r="AX355" t="s">
        <v>74</v>
      </c>
      <c r="AY355" t="s">
        <v>74</v>
      </c>
      <c r="AZ355" t="s">
        <v>74</v>
      </c>
      <c r="BA355" t="s">
        <v>74</v>
      </c>
      <c r="BB355">
        <v>555</v>
      </c>
      <c r="BC355">
        <v>573</v>
      </c>
      <c r="BD355" t="s">
        <v>5225</v>
      </c>
      <c r="BE355" t="s">
        <v>5226</v>
      </c>
      <c r="BF355" t="str">
        <f>HYPERLINK("http://dx.doi.org/10.1016/S0967-0637(01)00066-8","http://dx.doi.org/10.1016/S0967-0637(01)00066-8")</f>
        <v>http://dx.doi.org/10.1016/S0967-0637(01)00066-8</v>
      </c>
      <c r="BG355" t="s">
        <v>74</v>
      </c>
      <c r="BH355" t="s">
        <v>74</v>
      </c>
      <c r="BI355">
        <v>19</v>
      </c>
      <c r="BJ355" t="s">
        <v>1155</v>
      </c>
      <c r="BK355" t="s">
        <v>170</v>
      </c>
      <c r="BL355" t="s">
        <v>1155</v>
      </c>
      <c r="BM355" t="s">
        <v>5227</v>
      </c>
      <c r="BN355" t="s">
        <v>74</v>
      </c>
      <c r="BO355" t="s">
        <v>74</v>
      </c>
      <c r="BP355" t="s">
        <v>74</v>
      </c>
      <c r="BQ355" t="s">
        <v>74</v>
      </c>
      <c r="BR355" t="s">
        <v>107</v>
      </c>
      <c r="BS355" t="s">
        <v>5228</v>
      </c>
      <c r="BT355" t="str">
        <f>HYPERLINK("https%3A%2F%2Fwww.webofscience.com%2Fwos%2Fwoscc%2Ffull-record%2FWOS:000174041600007","View Full Record in Web of Science")</f>
        <v>View Full Record in Web of Science</v>
      </c>
    </row>
    <row r="356" spans="1:72" x14ac:dyDescent="0.15">
      <c r="A356" t="s">
        <v>72</v>
      </c>
      <c r="B356" t="s">
        <v>5229</v>
      </c>
      <c r="C356" t="s">
        <v>74</v>
      </c>
      <c r="D356" t="s">
        <v>74</v>
      </c>
      <c r="E356" t="s">
        <v>74</v>
      </c>
      <c r="F356" t="s">
        <v>5229</v>
      </c>
      <c r="G356" t="s">
        <v>74</v>
      </c>
      <c r="H356" t="s">
        <v>74</v>
      </c>
      <c r="I356" t="s">
        <v>5230</v>
      </c>
      <c r="J356" t="s">
        <v>1139</v>
      </c>
      <c r="K356" t="s">
        <v>74</v>
      </c>
      <c r="L356" t="s">
        <v>74</v>
      </c>
      <c r="M356" t="s">
        <v>77</v>
      </c>
      <c r="N356" t="s">
        <v>153</v>
      </c>
      <c r="O356" t="s">
        <v>74</v>
      </c>
      <c r="P356" t="s">
        <v>74</v>
      </c>
      <c r="Q356" t="s">
        <v>74</v>
      </c>
      <c r="R356" t="s">
        <v>74</v>
      </c>
      <c r="S356" t="s">
        <v>74</v>
      </c>
      <c r="T356" t="s">
        <v>5231</v>
      </c>
      <c r="U356" t="s">
        <v>5232</v>
      </c>
      <c r="V356" t="s">
        <v>5233</v>
      </c>
      <c r="W356" t="s">
        <v>5234</v>
      </c>
      <c r="X356" t="s">
        <v>5235</v>
      </c>
      <c r="Y356" t="s">
        <v>5236</v>
      </c>
      <c r="Z356" t="s">
        <v>74</v>
      </c>
      <c r="AA356" t="s">
        <v>74</v>
      </c>
      <c r="AB356" t="s">
        <v>74</v>
      </c>
      <c r="AC356" t="s">
        <v>74</v>
      </c>
      <c r="AD356" t="s">
        <v>74</v>
      </c>
      <c r="AE356" t="s">
        <v>74</v>
      </c>
      <c r="AF356" t="s">
        <v>74</v>
      </c>
      <c r="AG356">
        <v>51</v>
      </c>
      <c r="AH356">
        <v>4</v>
      </c>
      <c r="AI356">
        <v>4</v>
      </c>
      <c r="AJ356">
        <v>0</v>
      </c>
      <c r="AK356">
        <v>10</v>
      </c>
      <c r="AL356" t="s">
        <v>1013</v>
      </c>
      <c r="AM356" t="s">
        <v>895</v>
      </c>
      <c r="AN356" t="s">
        <v>1014</v>
      </c>
      <c r="AO356" t="s">
        <v>1149</v>
      </c>
      <c r="AP356" t="s">
        <v>74</v>
      </c>
      <c r="AQ356" t="s">
        <v>74</v>
      </c>
      <c r="AR356" t="s">
        <v>1151</v>
      </c>
      <c r="AS356" t="s">
        <v>1152</v>
      </c>
      <c r="AT356" t="s">
        <v>4953</v>
      </c>
      <c r="AU356">
        <v>2002</v>
      </c>
      <c r="AV356">
        <v>49</v>
      </c>
      <c r="AW356">
        <v>3</v>
      </c>
      <c r="AX356" t="s">
        <v>74</v>
      </c>
      <c r="AY356" t="s">
        <v>74</v>
      </c>
      <c r="AZ356" t="s">
        <v>74</v>
      </c>
      <c r="BA356" t="s">
        <v>74</v>
      </c>
      <c r="BB356">
        <v>575</v>
      </c>
      <c r="BC356">
        <v>590</v>
      </c>
      <c r="BD356" t="s">
        <v>5237</v>
      </c>
      <c r="BE356" t="s">
        <v>5238</v>
      </c>
      <c r="BF356" t="str">
        <f>HYPERLINK("http://dx.doi.org/10.1016/S0967-0637(01)00067-X","http://dx.doi.org/10.1016/S0967-0637(01)00067-X")</f>
        <v>http://dx.doi.org/10.1016/S0967-0637(01)00067-X</v>
      </c>
      <c r="BG356" t="s">
        <v>74</v>
      </c>
      <c r="BH356" t="s">
        <v>74</v>
      </c>
      <c r="BI356">
        <v>16</v>
      </c>
      <c r="BJ356" t="s">
        <v>1155</v>
      </c>
      <c r="BK356" t="s">
        <v>170</v>
      </c>
      <c r="BL356" t="s">
        <v>1155</v>
      </c>
      <c r="BM356" t="s">
        <v>5227</v>
      </c>
      <c r="BN356" t="s">
        <v>74</v>
      </c>
      <c r="BO356" t="s">
        <v>74</v>
      </c>
      <c r="BP356" t="s">
        <v>74</v>
      </c>
      <c r="BQ356" t="s">
        <v>74</v>
      </c>
      <c r="BR356" t="s">
        <v>107</v>
      </c>
      <c r="BS356" t="s">
        <v>5239</v>
      </c>
      <c r="BT356" t="str">
        <f>HYPERLINK("https%3A%2F%2Fwww.webofscience.com%2Fwos%2Fwoscc%2Ffull-record%2FWOS:000174041600008","View Full Record in Web of Science")</f>
        <v>View Full Record in Web of Science</v>
      </c>
    </row>
    <row r="357" spans="1:72" x14ac:dyDescent="0.15">
      <c r="A357" t="s">
        <v>72</v>
      </c>
      <c r="B357" t="s">
        <v>5240</v>
      </c>
      <c r="C357" t="s">
        <v>74</v>
      </c>
      <c r="D357" t="s">
        <v>74</v>
      </c>
      <c r="E357" t="s">
        <v>74</v>
      </c>
      <c r="F357" t="s">
        <v>5240</v>
      </c>
      <c r="G357" t="s">
        <v>74</v>
      </c>
      <c r="H357" t="s">
        <v>74</v>
      </c>
      <c r="I357" t="s">
        <v>5241</v>
      </c>
      <c r="J357" t="s">
        <v>1203</v>
      </c>
      <c r="K357" t="s">
        <v>74</v>
      </c>
      <c r="L357" t="s">
        <v>74</v>
      </c>
      <c r="M357" t="s">
        <v>77</v>
      </c>
      <c r="N357" t="s">
        <v>153</v>
      </c>
      <c r="O357" t="s">
        <v>74</v>
      </c>
      <c r="P357" t="s">
        <v>74</v>
      </c>
      <c r="Q357" t="s">
        <v>74</v>
      </c>
      <c r="R357" t="s">
        <v>74</v>
      </c>
      <c r="S357" t="s">
        <v>74</v>
      </c>
      <c r="T357" t="s">
        <v>5242</v>
      </c>
      <c r="U357" t="s">
        <v>5243</v>
      </c>
      <c r="V357" t="s">
        <v>5244</v>
      </c>
      <c r="W357" t="s">
        <v>5245</v>
      </c>
      <c r="X357" t="s">
        <v>5246</v>
      </c>
      <c r="Y357" t="s">
        <v>5247</v>
      </c>
      <c r="Z357" t="s">
        <v>5248</v>
      </c>
      <c r="AA357" t="s">
        <v>2238</v>
      </c>
      <c r="AB357" t="s">
        <v>5249</v>
      </c>
      <c r="AC357" t="s">
        <v>74</v>
      </c>
      <c r="AD357" t="s">
        <v>74</v>
      </c>
      <c r="AE357" t="s">
        <v>74</v>
      </c>
      <c r="AF357" t="s">
        <v>74</v>
      </c>
      <c r="AG357">
        <v>21</v>
      </c>
      <c r="AH357">
        <v>11</v>
      </c>
      <c r="AI357">
        <v>12</v>
      </c>
      <c r="AJ357">
        <v>0</v>
      </c>
      <c r="AK357">
        <v>2</v>
      </c>
      <c r="AL357" t="s">
        <v>394</v>
      </c>
      <c r="AM357" t="s">
        <v>395</v>
      </c>
      <c r="AN357" t="s">
        <v>396</v>
      </c>
      <c r="AO357" t="s">
        <v>1213</v>
      </c>
      <c r="AP357" t="s">
        <v>1214</v>
      </c>
      <c r="AQ357" t="s">
        <v>74</v>
      </c>
      <c r="AR357" t="s">
        <v>1215</v>
      </c>
      <c r="AS357" t="s">
        <v>1216</v>
      </c>
      <c r="AT357" t="s">
        <v>4953</v>
      </c>
      <c r="AU357">
        <v>2002</v>
      </c>
      <c r="AV357">
        <v>27</v>
      </c>
      <c r="AW357">
        <v>3</v>
      </c>
      <c r="AX357" t="s">
        <v>74</v>
      </c>
      <c r="AY357" t="s">
        <v>74</v>
      </c>
      <c r="AZ357" t="s">
        <v>74</v>
      </c>
      <c r="BA357" t="s">
        <v>74</v>
      </c>
      <c r="BB357">
        <v>307</v>
      </c>
      <c r="BC357">
        <v>315</v>
      </c>
      <c r="BD357" t="s">
        <v>74</v>
      </c>
      <c r="BE357" t="s">
        <v>5250</v>
      </c>
      <c r="BF357" t="str">
        <f>HYPERLINK("http://dx.doi.org/10.1002/esp.320","http://dx.doi.org/10.1002/esp.320")</f>
        <v>http://dx.doi.org/10.1002/esp.320</v>
      </c>
      <c r="BG357" t="s">
        <v>74</v>
      </c>
      <c r="BH357" t="s">
        <v>74</v>
      </c>
      <c r="BI357">
        <v>9</v>
      </c>
      <c r="BJ357" t="s">
        <v>1218</v>
      </c>
      <c r="BK357" t="s">
        <v>170</v>
      </c>
      <c r="BL357" t="s">
        <v>224</v>
      </c>
      <c r="BM357" t="s">
        <v>5251</v>
      </c>
      <c r="BN357" t="s">
        <v>74</v>
      </c>
      <c r="BO357" t="s">
        <v>74</v>
      </c>
      <c r="BP357" t="s">
        <v>74</v>
      </c>
      <c r="BQ357" t="s">
        <v>74</v>
      </c>
      <c r="BR357" t="s">
        <v>107</v>
      </c>
      <c r="BS357" t="s">
        <v>5252</v>
      </c>
      <c r="BT357" t="str">
        <f>HYPERLINK("https%3A%2F%2Fwww.webofscience.com%2Fwos%2Fwoscc%2Ffull-record%2FWOS:000174647400006","View Full Record in Web of Science")</f>
        <v>View Full Record in Web of Science</v>
      </c>
    </row>
    <row r="358" spans="1:72" x14ac:dyDescent="0.15">
      <c r="A358" t="s">
        <v>72</v>
      </c>
      <c r="B358" t="s">
        <v>5253</v>
      </c>
      <c r="C358" t="s">
        <v>74</v>
      </c>
      <c r="D358" t="s">
        <v>74</v>
      </c>
      <c r="E358" t="s">
        <v>74</v>
      </c>
      <c r="F358" t="s">
        <v>5253</v>
      </c>
      <c r="G358" t="s">
        <v>74</v>
      </c>
      <c r="H358" t="s">
        <v>74</v>
      </c>
      <c r="I358" t="s">
        <v>5254</v>
      </c>
      <c r="J358" t="s">
        <v>2448</v>
      </c>
      <c r="K358" t="s">
        <v>74</v>
      </c>
      <c r="L358" t="s">
        <v>74</v>
      </c>
      <c r="M358" t="s">
        <v>77</v>
      </c>
      <c r="N358" t="s">
        <v>153</v>
      </c>
      <c r="O358" t="s">
        <v>74</v>
      </c>
      <c r="P358" t="s">
        <v>74</v>
      </c>
      <c r="Q358" t="s">
        <v>74</v>
      </c>
      <c r="R358" t="s">
        <v>74</v>
      </c>
      <c r="S358" t="s">
        <v>74</v>
      </c>
      <c r="T358" t="s">
        <v>5255</v>
      </c>
      <c r="U358" t="s">
        <v>5256</v>
      </c>
      <c r="V358" t="s">
        <v>5257</v>
      </c>
      <c r="W358" t="s">
        <v>5258</v>
      </c>
      <c r="X358" t="s">
        <v>5259</v>
      </c>
      <c r="Y358" t="s">
        <v>5260</v>
      </c>
      <c r="Z358" t="s">
        <v>74</v>
      </c>
      <c r="AA358" t="s">
        <v>5261</v>
      </c>
      <c r="AB358" t="s">
        <v>5262</v>
      </c>
      <c r="AC358" t="s">
        <v>74</v>
      </c>
      <c r="AD358" t="s">
        <v>74</v>
      </c>
      <c r="AE358" t="s">
        <v>74</v>
      </c>
      <c r="AF358" t="s">
        <v>74</v>
      </c>
      <c r="AG358">
        <v>25</v>
      </c>
      <c r="AH358">
        <v>24</v>
      </c>
      <c r="AI358">
        <v>25</v>
      </c>
      <c r="AJ358">
        <v>0</v>
      </c>
      <c r="AK358">
        <v>8</v>
      </c>
      <c r="AL358" t="s">
        <v>2455</v>
      </c>
      <c r="AM358" t="s">
        <v>895</v>
      </c>
      <c r="AN358" t="s">
        <v>2456</v>
      </c>
      <c r="AO358" t="s">
        <v>2457</v>
      </c>
      <c r="AP358" t="s">
        <v>74</v>
      </c>
      <c r="AQ358" t="s">
        <v>74</v>
      </c>
      <c r="AR358" t="s">
        <v>2458</v>
      </c>
      <c r="AS358" t="s">
        <v>2459</v>
      </c>
      <c r="AT358" t="s">
        <v>4953</v>
      </c>
      <c r="AU358">
        <v>2002</v>
      </c>
      <c r="AV358">
        <v>269</v>
      </c>
      <c r="AW358">
        <v>6</v>
      </c>
      <c r="AX358" t="s">
        <v>74</v>
      </c>
      <c r="AY358" t="s">
        <v>74</v>
      </c>
      <c r="AZ358" t="s">
        <v>74</v>
      </c>
      <c r="BA358" t="s">
        <v>74</v>
      </c>
      <c r="BB358">
        <v>1600</v>
      </c>
      <c r="BC358">
        <v>1606</v>
      </c>
      <c r="BD358" t="s">
        <v>74</v>
      </c>
      <c r="BE358" t="s">
        <v>5263</v>
      </c>
      <c r="BF358" t="str">
        <f>HYPERLINK("http://dx.doi.org/10.1046/j.1432-1327.2002.02762.x","http://dx.doi.org/10.1046/j.1432-1327.2002.02762.x")</f>
        <v>http://dx.doi.org/10.1046/j.1432-1327.2002.02762.x</v>
      </c>
      <c r="BG358" t="s">
        <v>74</v>
      </c>
      <c r="BH358" t="s">
        <v>74</v>
      </c>
      <c r="BI358">
        <v>7</v>
      </c>
      <c r="BJ358" t="s">
        <v>2461</v>
      </c>
      <c r="BK358" t="s">
        <v>170</v>
      </c>
      <c r="BL358" t="s">
        <v>2461</v>
      </c>
      <c r="BM358" t="s">
        <v>5264</v>
      </c>
      <c r="BN358">
        <v>11895429</v>
      </c>
      <c r="BO358" t="s">
        <v>74</v>
      </c>
      <c r="BP358" t="s">
        <v>74</v>
      </c>
      <c r="BQ358" t="s">
        <v>74</v>
      </c>
      <c r="BR358" t="s">
        <v>107</v>
      </c>
      <c r="BS358" t="s">
        <v>5265</v>
      </c>
      <c r="BT358" t="str">
        <f>HYPERLINK("https%3A%2F%2Fwww.webofscience.com%2Fwos%2Fwoscc%2Ffull-record%2FWOS:000174575200002","View Full Record in Web of Science")</f>
        <v>View Full Record in Web of Science</v>
      </c>
    </row>
    <row r="359" spans="1:72" x14ac:dyDescent="0.15">
      <c r="A359" t="s">
        <v>72</v>
      </c>
      <c r="B359" t="s">
        <v>5266</v>
      </c>
      <c r="C359" t="s">
        <v>74</v>
      </c>
      <c r="D359" t="s">
        <v>74</v>
      </c>
      <c r="E359" t="s">
        <v>74</v>
      </c>
      <c r="F359" t="s">
        <v>5266</v>
      </c>
      <c r="G359" t="s">
        <v>74</v>
      </c>
      <c r="H359" t="s">
        <v>74</v>
      </c>
      <c r="I359" t="s">
        <v>5267</v>
      </c>
      <c r="J359" t="s">
        <v>2492</v>
      </c>
      <c r="K359" t="s">
        <v>74</v>
      </c>
      <c r="L359" t="s">
        <v>74</v>
      </c>
      <c r="M359" t="s">
        <v>77</v>
      </c>
      <c r="N359" t="s">
        <v>153</v>
      </c>
      <c r="O359" t="s">
        <v>74</v>
      </c>
      <c r="P359" t="s">
        <v>74</v>
      </c>
      <c r="Q359" t="s">
        <v>74</v>
      </c>
      <c r="R359" t="s">
        <v>74</v>
      </c>
      <c r="S359" t="s">
        <v>74</v>
      </c>
      <c r="T359" t="s">
        <v>74</v>
      </c>
      <c r="U359" t="s">
        <v>5268</v>
      </c>
      <c r="V359" t="s">
        <v>5269</v>
      </c>
      <c r="W359" t="s">
        <v>5270</v>
      </c>
      <c r="X359" t="s">
        <v>852</v>
      </c>
      <c r="Y359" t="s">
        <v>5271</v>
      </c>
      <c r="Z359" t="s">
        <v>5272</v>
      </c>
      <c r="AA359" t="s">
        <v>74</v>
      </c>
      <c r="AB359" t="s">
        <v>74</v>
      </c>
      <c r="AC359" t="s">
        <v>74</v>
      </c>
      <c r="AD359" t="s">
        <v>74</v>
      </c>
      <c r="AE359" t="s">
        <v>74</v>
      </c>
      <c r="AF359" t="s">
        <v>74</v>
      </c>
      <c r="AG359">
        <v>89</v>
      </c>
      <c r="AH359">
        <v>17</v>
      </c>
      <c r="AI359">
        <v>19</v>
      </c>
      <c r="AJ359">
        <v>0</v>
      </c>
      <c r="AK359">
        <v>10</v>
      </c>
      <c r="AL359" t="s">
        <v>753</v>
      </c>
      <c r="AM359" t="s">
        <v>195</v>
      </c>
      <c r="AN359" t="s">
        <v>803</v>
      </c>
      <c r="AO359" t="s">
        <v>2501</v>
      </c>
      <c r="AP359" t="s">
        <v>5273</v>
      </c>
      <c r="AQ359" t="s">
        <v>74</v>
      </c>
      <c r="AR359" t="s">
        <v>2502</v>
      </c>
      <c r="AS359" t="s">
        <v>2503</v>
      </c>
      <c r="AT359" t="s">
        <v>4953</v>
      </c>
      <c r="AU359">
        <v>2002</v>
      </c>
      <c r="AV359">
        <v>139</v>
      </c>
      <c r="AW359">
        <v>2</v>
      </c>
      <c r="AX359" t="s">
        <v>74</v>
      </c>
      <c r="AY359" t="s">
        <v>74</v>
      </c>
      <c r="AZ359" t="s">
        <v>74</v>
      </c>
      <c r="BA359" t="s">
        <v>74</v>
      </c>
      <c r="BB359">
        <v>209</v>
      </c>
      <c r="BC359">
        <v>231</v>
      </c>
      <c r="BD359" t="s">
        <v>74</v>
      </c>
      <c r="BE359" t="s">
        <v>5274</v>
      </c>
      <c r="BF359" t="str">
        <f>HYPERLINK("http://dx.doi.org/10.1017/S0016756802006301","http://dx.doi.org/10.1017/S0016756802006301")</f>
        <v>http://dx.doi.org/10.1017/S0016756802006301</v>
      </c>
      <c r="BG359" t="s">
        <v>74</v>
      </c>
      <c r="BH359" t="s">
        <v>74</v>
      </c>
      <c r="BI359">
        <v>23</v>
      </c>
      <c r="BJ359" t="s">
        <v>608</v>
      </c>
      <c r="BK359" t="s">
        <v>170</v>
      </c>
      <c r="BL359" t="s">
        <v>439</v>
      </c>
      <c r="BM359" t="s">
        <v>5275</v>
      </c>
      <c r="BN359" t="s">
        <v>74</v>
      </c>
      <c r="BO359" t="s">
        <v>74</v>
      </c>
      <c r="BP359" t="s">
        <v>74</v>
      </c>
      <c r="BQ359" t="s">
        <v>74</v>
      </c>
      <c r="BR359" t="s">
        <v>107</v>
      </c>
      <c r="BS359" t="s">
        <v>5276</v>
      </c>
      <c r="BT359" t="str">
        <f>HYPERLINK("https%3A%2F%2Fwww.webofscience.com%2Fwos%2Fwoscc%2Ffull-record%2FWOS:000177217600008","View Full Record in Web of Science")</f>
        <v>View Full Record in Web of Science</v>
      </c>
    </row>
    <row r="360" spans="1:72" x14ac:dyDescent="0.15">
      <c r="A360" t="s">
        <v>72</v>
      </c>
      <c r="B360" t="s">
        <v>5277</v>
      </c>
      <c r="C360" t="s">
        <v>74</v>
      </c>
      <c r="D360" t="s">
        <v>74</v>
      </c>
      <c r="E360" t="s">
        <v>74</v>
      </c>
      <c r="F360" t="s">
        <v>5277</v>
      </c>
      <c r="G360" t="s">
        <v>74</v>
      </c>
      <c r="H360" t="s">
        <v>74</v>
      </c>
      <c r="I360" t="s">
        <v>5278</v>
      </c>
      <c r="J360" t="s">
        <v>2535</v>
      </c>
      <c r="K360" t="s">
        <v>74</v>
      </c>
      <c r="L360" t="s">
        <v>74</v>
      </c>
      <c r="M360" t="s">
        <v>77</v>
      </c>
      <c r="N360" t="s">
        <v>153</v>
      </c>
      <c r="O360" t="s">
        <v>74</v>
      </c>
      <c r="P360" t="s">
        <v>74</v>
      </c>
      <c r="Q360" t="s">
        <v>74</v>
      </c>
      <c r="R360" t="s">
        <v>74</v>
      </c>
      <c r="S360" t="s">
        <v>74</v>
      </c>
      <c r="T360" t="s">
        <v>74</v>
      </c>
      <c r="U360" t="s">
        <v>5279</v>
      </c>
      <c r="V360" t="s">
        <v>5280</v>
      </c>
      <c r="W360" t="s">
        <v>5281</v>
      </c>
      <c r="X360" t="s">
        <v>5282</v>
      </c>
      <c r="Y360" t="s">
        <v>1193</v>
      </c>
      <c r="Z360" t="s">
        <v>5283</v>
      </c>
      <c r="AA360" t="s">
        <v>5284</v>
      </c>
      <c r="AB360" t="s">
        <v>5285</v>
      </c>
      <c r="AC360" t="s">
        <v>74</v>
      </c>
      <c r="AD360" t="s">
        <v>74</v>
      </c>
      <c r="AE360" t="s">
        <v>74</v>
      </c>
      <c r="AF360" t="s">
        <v>74</v>
      </c>
      <c r="AG360">
        <v>22</v>
      </c>
      <c r="AH360">
        <v>0</v>
      </c>
      <c r="AI360">
        <v>0</v>
      </c>
      <c r="AJ360">
        <v>0</v>
      </c>
      <c r="AK360">
        <v>0</v>
      </c>
      <c r="AL360" t="s">
        <v>1197</v>
      </c>
      <c r="AM360" t="s">
        <v>195</v>
      </c>
      <c r="AN360" t="s">
        <v>1198</v>
      </c>
      <c r="AO360" t="s">
        <v>2541</v>
      </c>
      <c r="AP360" t="s">
        <v>5286</v>
      </c>
      <c r="AQ360" t="s">
        <v>74</v>
      </c>
      <c r="AR360" t="s">
        <v>2542</v>
      </c>
      <c r="AS360" t="s">
        <v>2543</v>
      </c>
      <c r="AT360" t="s">
        <v>5287</v>
      </c>
      <c r="AU360">
        <v>2002</v>
      </c>
      <c r="AV360">
        <v>42</v>
      </c>
      <c r="AW360">
        <v>2</v>
      </c>
      <c r="AX360" t="s">
        <v>74</v>
      </c>
      <c r="AY360" t="s">
        <v>74</v>
      </c>
      <c r="AZ360" t="s">
        <v>74</v>
      </c>
      <c r="BA360" t="s">
        <v>74</v>
      </c>
      <c r="BB360">
        <v>199</v>
      </c>
      <c r="BC360">
        <v>207</v>
      </c>
      <c r="BD360" t="s">
        <v>74</v>
      </c>
      <c r="BE360" t="s">
        <v>74</v>
      </c>
      <c r="BF360" t="s">
        <v>74</v>
      </c>
      <c r="BG360" t="s">
        <v>74</v>
      </c>
      <c r="BH360" t="s">
        <v>74</v>
      </c>
      <c r="BI360">
        <v>9</v>
      </c>
      <c r="BJ360" t="s">
        <v>556</v>
      </c>
      <c r="BK360" t="s">
        <v>170</v>
      </c>
      <c r="BL360" t="s">
        <v>556</v>
      </c>
      <c r="BM360" t="s">
        <v>5288</v>
      </c>
      <c r="BN360" t="s">
        <v>74</v>
      </c>
      <c r="BO360" t="s">
        <v>74</v>
      </c>
      <c r="BP360" t="s">
        <v>74</v>
      </c>
      <c r="BQ360" t="s">
        <v>74</v>
      </c>
      <c r="BR360" t="s">
        <v>107</v>
      </c>
      <c r="BS360" t="s">
        <v>5289</v>
      </c>
      <c r="BT360" t="str">
        <f>HYPERLINK("https%3A%2F%2Fwww.webofscience.com%2Fwos%2Fwoscc%2Ffull-record%2FWOS:000175305400012","View Full Record in Web of Science")</f>
        <v>View Full Record in Web of Science</v>
      </c>
    </row>
    <row r="361" spans="1:72" x14ac:dyDescent="0.15">
      <c r="A361" t="s">
        <v>72</v>
      </c>
      <c r="B361" t="s">
        <v>5290</v>
      </c>
      <c r="C361" t="s">
        <v>74</v>
      </c>
      <c r="D361" t="s">
        <v>74</v>
      </c>
      <c r="E361" t="s">
        <v>74</v>
      </c>
      <c r="F361" t="s">
        <v>5290</v>
      </c>
      <c r="G361" t="s">
        <v>74</v>
      </c>
      <c r="H361" t="s">
        <v>74</v>
      </c>
      <c r="I361" t="s">
        <v>5291</v>
      </c>
      <c r="J361" t="s">
        <v>594</v>
      </c>
      <c r="K361" t="s">
        <v>74</v>
      </c>
      <c r="L361" t="s">
        <v>74</v>
      </c>
      <c r="M361" t="s">
        <v>77</v>
      </c>
      <c r="N361" t="s">
        <v>153</v>
      </c>
      <c r="O361" t="s">
        <v>74</v>
      </c>
      <c r="P361" t="s">
        <v>74</v>
      </c>
      <c r="Q361" t="s">
        <v>74</v>
      </c>
      <c r="R361" t="s">
        <v>74</v>
      </c>
      <c r="S361" t="s">
        <v>74</v>
      </c>
      <c r="T361" t="s">
        <v>74</v>
      </c>
      <c r="U361" t="s">
        <v>5292</v>
      </c>
      <c r="V361" t="s">
        <v>5293</v>
      </c>
      <c r="W361" t="s">
        <v>5294</v>
      </c>
      <c r="X361" t="s">
        <v>5295</v>
      </c>
      <c r="Y361" t="s">
        <v>5296</v>
      </c>
      <c r="Z361" t="s">
        <v>5297</v>
      </c>
      <c r="AA361" t="s">
        <v>74</v>
      </c>
      <c r="AB361" t="s">
        <v>74</v>
      </c>
      <c r="AC361" t="s">
        <v>74</v>
      </c>
      <c r="AD361" t="s">
        <v>74</v>
      </c>
      <c r="AE361" t="s">
        <v>74</v>
      </c>
      <c r="AF361" t="s">
        <v>74</v>
      </c>
      <c r="AG361">
        <v>11</v>
      </c>
      <c r="AH361">
        <v>30</v>
      </c>
      <c r="AI361">
        <v>32</v>
      </c>
      <c r="AJ361">
        <v>0</v>
      </c>
      <c r="AK361">
        <v>6</v>
      </c>
      <c r="AL361" t="s">
        <v>161</v>
      </c>
      <c r="AM361" t="s">
        <v>162</v>
      </c>
      <c r="AN361" t="s">
        <v>163</v>
      </c>
      <c r="AO361" t="s">
        <v>602</v>
      </c>
      <c r="AP361" t="s">
        <v>603</v>
      </c>
      <c r="AQ361" t="s">
        <v>74</v>
      </c>
      <c r="AR361" t="s">
        <v>604</v>
      </c>
      <c r="AS361" t="s">
        <v>605</v>
      </c>
      <c r="AT361" t="s">
        <v>5298</v>
      </c>
      <c r="AU361">
        <v>2002</v>
      </c>
      <c r="AV361">
        <v>29</v>
      </c>
      <c r="AW361">
        <v>5</v>
      </c>
      <c r="AX361" t="s">
        <v>74</v>
      </c>
      <c r="AY361" t="s">
        <v>74</v>
      </c>
      <c r="AZ361" t="s">
        <v>74</v>
      </c>
      <c r="BA361" t="s">
        <v>74</v>
      </c>
      <c r="BB361" t="s">
        <v>74</v>
      </c>
      <c r="BC361" t="s">
        <v>74</v>
      </c>
      <c r="BD361">
        <v>1073</v>
      </c>
      <c r="BE361" t="s">
        <v>5299</v>
      </c>
      <c r="BF361" t="str">
        <f>HYPERLINK("http://dx.doi.org/10.1029/2001GL014282","http://dx.doi.org/10.1029/2001GL014282")</f>
        <v>http://dx.doi.org/10.1029/2001GL014282</v>
      </c>
      <c r="BG361" t="s">
        <v>74</v>
      </c>
      <c r="BH361" t="s">
        <v>74</v>
      </c>
      <c r="BI361">
        <v>3</v>
      </c>
      <c r="BJ361" t="s">
        <v>608</v>
      </c>
      <c r="BK361" t="s">
        <v>170</v>
      </c>
      <c r="BL361" t="s">
        <v>439</v>
      </c>
      <c r="BM361" t="s">
        <v>5300</v>
      </c>
      <c r="BN361" t="s">
        <v>74</v>
      </c>
      <c r="BO361" t="s">
        <v>173</v>
      </c>
      <c r="BP361" t="s">
        <v>74</v>
      </c>
      <c r="BQ361" t="s">
        <v>74</v>
      </c>
      <c r="BR361" t="s">
        <v>107</v>
      </c>
      <c r="BS361" t="s">
        <v>5301</v>
      </c>
      <c r="BT361" t="str">
        <f>HYPERLINK("https%3A%2F%2Fwww.webofscience.com%2Fwos%2Fwoscc%2Ffull-record%2FWOS:000178886500004","View Full Record in Web of Science")</f>
        <v>View Full Record in Web of Science</v>
      </c>
    </row>
    <row r="362" spans="1:72" x14ac:dyDescent="0.15">
      <c r="A362" t="s">
        <v>72</v>
      </c>
      <c r="B362" t="s">
        <v>5302</v>
      </c>
      <c r="C362" t="s">
        <v>74</v>
      </c>
      <c r="D362" t="s">
        <v>74</v>
      </c>
      <c r="E362" t="s">
        <v>74</v>
      </c>
      <c r="F362" t="s">
        <v>5302</v>
      </c>
      <c r="G362" t="s">
        <v>74</v>
      </c>
      <c r="H362" t="s">
        <v>74</v>
      </c>
      <c r="I362" t="s">
        <v>5303</v>
      </c>
      <c r="J362" t="s">
        <v>5304</v>
      </c>
      <c r="K362" t="s">
        <v>74</v>
      </c>
      <c r="L362" t="s">
        <v>74</v>
      </c>
      <c r="M362" t="s">
        <v>77</v>
      </c>
      <c r="N362" t="s">
        <v>153</v>
      </c>
      <c r="O362" t="s">
        <v>74</v>
      </c>
      <c r="P362" t="s">
        <v>74</v>
      </c>
      <c r="Q362" t="s">
        <v>74</v>
      </c>
      <c r="R362" t="s">
        <v>74</v>
      </c>
      <c r="S362" t="s">
        <v>74</v>
      </c>
      <c r="T362" t="s">
        <v>5305</v>
      </c>
      <c r="U362" t="s">
        <v>5306</v>
      </c>
      <c r="V362" t="s">
        <v>5307</v>
      </c>
      <c r="W362" t="s">
        <v>5308</v>
      </c>
      <c r="X362" t="s">
        <v>5309</v>
      </c>
      <c r="Y362" t="s">
        <v>5310</v>
      </c>
      <c r="Z362" t="s">
        <v>5311</v>
      </c>
      <c r="AA362" t="s">
        <v>74</v>
      </c>
      <c r="AB362" t="s">
        <v>74</v>
      </c>
      <c r="AC362" t="s">
        <v>74</v>
      </c>
      <c r="AD362" t="s">
        <v>74</v>
      </c>
      <c r="AE362" t="s">
        <v>74</v>
      </c>
      <c r="AF362" t="s">
        <v>74</v>
      </c>
      <c r="AG362">
        <v>48</v>
      </c>
      <c r="AH362">
        <v>7</v>
      </c>
      <c r="AI362">
        <v>7</v>
      </c>
      <c r="AJ362">
        <v>0</v>
      </c>
      <c r="AK362">
        <v>6</v>
      </c>
      <c r="AL362" t="s">
        <v>453</v>
      </c>
      <c r="AM362" t="s">
        <v>454</v>
      </c>
      <c r="AN362" t="s">
        <v>455</v>
      </c>
      <c r="AO362" t="s">
        <v>5312</v>
      </c>
      <c r="AP362" t="s">
        <v>5313</v>
      </c>
      <c r="AQ362" t="s">
        <v>74</v>
      </c>
      <c r="AR362" t="s">
        <v>5304</v>
      </c>
      <c r="AS362" t="s">
        <v>5304</v>
      </c>
      <c r="AT362" t="s">
        <v>4953</v>
      </c>
      <c r="AU362">
        <v>2002</v>
      </c>
      <c r="AV362">
        <v>124</v>
      </c>
      <c r="AW362" t="s">
        <v>74</v>
      </c>
      <c r="AX362">
        <v>1</v>
      </c>
      <c r="AY362" t="s">
        <v>74</v>
      </c>
      <c r="AZ362" t="s">
        <v>74</v>
      </c>
      <c r="BA362" t="s">
        <v>74</v>
      </c>
      <c r="BB362">
        <v>19</v>
      </c>
      <c r="BC362">
        <v>26</v>
      </c>
      <c r="BD362" t="s">
        <v>74</v>
      </c>
      <c r="BE362" t="s">
        <v>5314</v>
      </c>
      <c r="BF362" t="str">
        <f>HYPERLINK("http://dx.doi.org/10.1080/11035890201241019","http://dx.doi.org/10.1080/11035890201241019")</f>
        <v>http://dx.doi.org/10.1080/11035890201241019</v>
      </c>
      <c r="BG362" t="s">
        <v>74</v>
      </c>
      <c r="BH362" t="s">
        <v>74</v>
      </c>
      <c r="BI362">
        <v>8</v>
      </c>
      <c r="BJ362" t="s">
        <v>5315</v>
      </c>
      <c r="BK362" t="s">
        <v>170</v>
      </c>
      <c r="BL362" t="s">
        <v>5315</v>
      </c>
      <c r="BM362" t="s">
        <v>5316</v>
      </c>
      <c r="BN362" t="s">
        <v>74</v>
      </c>
      <c r="BO362" t="s">
        <v>74</v>
      </c>
      <c r="BP362" t="s">
        <v>74</v>
      </c>
      <c r="BQ362" t="s">
        <v>74</v>
      </c>
      <c r="BR362" t="s">
        <v>107</v>
      </c>
      <c r="BS362" t="s">
        <v>5317</v>
      </c>
      <c r="BT362" t="str">
        <f>HYPERLINK("https%3A%2F%2Fwww.webofscience.com%2Fwos%2Fwoscc%2Ffull-record%2FWOS:000175563000003","View Full Record in Web of Science")</f>
        <v>View Full Record in Web of Science</v>
      </c>
    </row>
    <row r="363" spans="1:72" x14ac:dyDescent="0.15">
      <c r="A363" t="s">
        <v>72</v>
      </c>
      <c r="B363" t="s">
        <v>5318</v>
      </c>
      <c r="C363" t="s">
        <v>74</v>
      </c>
      <c r="D363" t="s">
        <v>74</v>
      </c>
      <c r="E363" t="s">
        <v>74</v>
      </c>
      <c r="F363" t="s">
        <v>5318</v>
      </c>
      <c r="G363" t="s">
        <v>74</v>
      </c>
      <c r="H363" t="s">
        <v>74</v>
      </c>
      <c r="I363" t="s">
        <v>5319</v>
      </c>
      <c r="J363" t="s">
        <v>5320</v>
      </c>
      <c r="K363" t="s">
        <v>74</v>
      </c>
      <c r="L363" t="s">
        <v>74</v>
      </c>
      <c r="M363" t="s">
        <v>77</v>
      </c>
      <c r="N363" t="s">
        <v>153</v>
      </c>
      <c r="O363" t="s">
        <v>74</v>
      </c>
      <c r="P363" t="s">
        <v>74</v>
      </c>
      <c r="Q363" t="s">
        <v>74</v>
      </c>
      <c r="R363" t="s">
        <v>74</v>
      </c>
      <c r="S363" t="s">
        <v>74</v>
      </c>
      <c r="T363" t="s">
        <v>5321</v>
      </c>
      <c r="U363" t="s">
        <v>5322</v>
      </c>
      <c r="V363" t="s">
        <v>5323</v>
      </c>
      <c r="W363" t="s">
        <v>5324</v>
      </c>
      <c r="X363" t="s">
        <v>5325</v>
      </c>
      <c r="Y363" t="s">
        <v>5326</v>
      </c>
      <c r="Z363" t="s">
        <v>5327</v>
      </c>
      <c r="AA363" t="s">
        <v>5328</v>
      </c>
      <c r="AB363" t="s">
        <v>74</v>
      </c>
      <c r="AC363" t="s">
        <v>74</v>
      </c>
      <c r="AD363" t="s">
        <v>74</v>
      </c>
      <c r="AE363" t="s">
        <v>74</v>
      </c>
      <c r="AF363" t="s">
        <v>74</v>
      </c>
      <c r="AG363">
        <v>58</v>
      </c>
      <c r="AH363">
        <v>170</v>
      </c>
      <c r="AI363">
        <v>181</v>
      </c>
      <c r="AJ363">
        <v>3</v>
      </c>
      <c r="AK363">
        <v>52</v>
      </c>
      <c r="AL363" t="s">
        <v>161</v>
      </c>
      <c r="AM363" t="s">
        <v>162</v>
      </c>
      <c r="AN363" t="s">
        <v>163</v>
      </c>
      <c r="AO363" t="s">
        <v>5329</v>
      </c>
      <c r="AP363" t="s">
        <v>74</v>
      </c>
      <c r="AQ363" t="s">
        <v>74</v>
      </c>
      <c r="AR363" t="s">
        <v>5330</v>
      </c>
      <c r="AS363" t="s">
        <v>5331</v>
      </c>
      <c r="AT363" t="s">
        <v>4953</v>
      </c>
      <c r="AU363">
        <v>2002</v>
      </c>
      <c r="AV363">
        <v>16</v>
      </c>
      <c r="AW363">
        <v>1</v>
      </c>
      <c r="AX363" t="s">
        <v>74</v>
      </c>
      <c r="AY363" t="s">
        <v>74</v>
      </c>
      <c r="AZ363" t="s">
        <v>74</v>
      </c>
      <c r="BA363" t="s">
        <v>74</v>
      </c>
      <c r="BB363" t="s">
        <v>74</v>
      </c>
      <c r="BC363" t="s">
        <v>74</v>
      </c>
      <c r="BD363">
        <v>1010</v>
      </c>
      <c r="BE363" t="s">
        <v>5332</v>
      </c>
      <c r="BF363" t="str">
        <f>HYPERLINK("http://dx.doi.org/10.1029/2001GB001417","http://dx.doi.org/10.1029/2001GB001417")</f>
        <v>http://dx.doi.org/10.1029/2001GB001417</v>
      </c>
      <c r="BG363" t="s">
        <v>74</v>
      </c>
      <c r="BH363" t="s">
        <v>74</v>
      </c>
      <c r="BI363">
        <v>8</v>
      </c>
      <c r="BJ363" t="s">
        <v>5333</v>
      </c>
      <c r="BK363" t="s">
        <v>170</v>
      </c>
      <c r="BL363" t="s">
        <v>5334</v>
      </c>
      <c r="BM363" t="s">
        <v>5335</v>
      </c>
      <c r="BN363" t="s">
        <v>74</v>
      </c>
      <c r="BO363" t="s">
        <v>2052</v>
      </c>
      <c r="BP363" t="s">
        <v>74</v>
      </c>
      <c r="BQ363" t="s">
        <v>74</v>
      </c>
      <c r="BR363" t="s">
        <v>107</v>
      </c>
      <c r="BS363" t="s">
        <v>5336</v>
      </c>
      <c r="BT363" t="str">
        <f>HYPERLINK("https%3A%2F%2Fwww.webofscience.com%2Fwos%2Fwoscc%2Ffull-record%2FWOS:000178880800015","View Full Record in Web of Science")</f>
        <v>View Full Record in Web of Science</v>
      </c>
    </row>
    <row r="364" spans="1:72" x14ac:dyDescent="0.15">
      <c r="A364" t="s">
        <v>72</v>
      </c>
      <c r="B364" t="s">
        <v>5337</v>
      </c>
      <c r="C364" t="s">
        <v>74</v>
      </c>
      <c r="D364" t="s">
        <v>74</v>
      </c>
      <c r="E364" t="s">
        <v>74</v>
      </c>
      <c r="F364" t="s">
        <v>5337</v>
      </c>
      <c r="G364" t="s">
        <v>74</v>
      </c>
      <c r="H364" t="s">
        <v>74</v>
      </c>
      <c r="I364" t="s">
        <v>5338</v>
      </c>
      <c r="J364" t="s">
        <v>5339</v>
      </c>
      <c r="K364" t="s">
        <v>74</v>
      </c>
      <c r="L364" t="s">
        <v>74</v>
      </c>
      <c r="M364" t="s">
        <v>77</v>
      </c>
      <c r="N364" t="s">
        <v>153</v>
      </c>
      <c r="O364" t="s">
        <v>74</v>
      </c>
      <c r="P364" t="s">
        <v>74</v>
      </c>
      <c r="Q364" t="s">
        <v>74</v>
      </c>
      <c r="R364" t="s">
        <v>74</v>
      </c>
      <c r="S364" t="s">
        <v>74</v>
      </c>
      <c r="T364" t="s">
        <v>74</v>
      </c>
      <c r="U364" t="s">
        <v>74</v>
      </c>
      <c r="V364" t="s">
        <v>5340</v>
      </c>
      <c r="W364" t="s">
        <v>2466</v>
      </c>
      <c r="X364" t="s">
        <v>852</v>
      </c>
      <c r="Y364" t="s">
        <v>5341</v>
      </c>
      <c r="Z364" t="s">
        <v>74</v>
      </c>
      <c r="AA364" t="s">
        <v>74</v>
      </c>
      <c r="AB364" t="s">
        <v>74</v>
      </c>
      <c r="AC364" t="s">
        <v>5342</v>
      </c>
      <c r="AD364" t="s">
        <v>5343</v>
      </c>
      <c r="AE364" t="s">
        <v>74</v>
      </c>
      <c r="AF364" t="s">
        <v>74</v>
      </c>
      <c r="AG364">
        <v>5</v>
      </c>
      <c r="AH364">
        <v>6</v>
      </c>
      <c r="AI364">
        <v>6</v>
      </c>
      <c r="AJ364">
        <v>1</v>
      </c>
      <c r="AK364">
        <v>39</v>
      </c>
      <c r="AL364" t="s">
        <v>5344</v>
      </c>
      <c r="AM364" t="s">
        <v>5345</v>
      </c>
      <c r="AN364" t="s">
        <v>5346</v>
      </c>
      <c r="AO364" t="s">
        <v>5347</v>
      </c>
      <c r="AP364" t="s">
        <v>74</v>
      </c>
      <c r="AQ364" t="s">
        <v>74</v>
      </c>
      <c r="AR364" t="s">
        <v>5348</v>
      </c>
      <c r="AS364" t="s">
        <v>5349</v>
      </c>
      <c r="AT364" t="s">
        <v>5350</v>
      </c>
      <c r="AU364">
        <v>2002</v>
      </c>
      <c r="AV364">
        <v>27</v>
      </c>
      <c r="AW364">
        <v>1</v>
      </c>
      <c r="AX364" t="s">
        <v>74</v>
      </c>
      <c r="AY364" t="s">
        <v>74</v>
      </c>
      <c r="AZ364" t="s">
        <v>74</v>
      </c>
      <c r="BA364" t="s">
        <v>74</v>
      </c>
      <c r="BB364">
        <v>32</v>
      </c>
      <c r="BC364">
        <v>38</v>
      </c>
      <c r="BD364" t="s">
        <v>74</v>
      </c>
      <c r="BE364" t="s">
        <v>5351</v>
      </c>
      <c r="BF364" t="str">
        <f>HYPERLINK("http://dx.doi.org/10.1179/030801802225002881","http://dx.doi.org/10.1179/030801802225002881")</f>
        <v>http://dx.doi.org/10.1179/030801802225002881</v>
      </c>
      <c r="BG364" t="s">
        <v>74</v>
      </c>
      <c r="BH364" t="s">
        <v>74</v>
      </c>
      <c r="BI364">
        <v>7</v>
      </c>
      <c r="BJ364" t="s">
        <v>5352</v>
      </c>
      <c r="BK364" t="s">
        <v>5353</v>
      </c>
      <c r="BL364" t="s">
        <v>5354</v>
      </c>
      <c r="BM364" t="s">
        <v>5355</v>
      </c>
      <c r="BN364" t="s">
        <v>74</v>
      </c>
      <c r="BO364" t="s">
        <v>74</v>
      </c>
      <c r="BP364" t="s">
        <v>74</v>
      </c>
      <c r="BQ364" t="s">
        <v>74</v>
      </c>
      <c r="BR364" t="s">
        <v>107</v>
      </c>
      <c r="BS364" t="s">
        <v>5356</v>
      </c>
      <c r="BT364" t="str">
        <f>HYPERLINK("https%3A%2F%2Fwww.webofscience.com%2Fwos%2Fwoscc%2Ffull-record%2FWOS:000175500500006","View Full Record in Web of Science")</f>
        <v>View Full Record in Web of Science</v>
      </c>
    </row>
    <row r="365" spans="1:72" x14ac:dyDescent="0.15">
      <c r="A365" t="s">
        <v>72</v>
      </c>
      <c r="B365" t="s">
        <v>5357</v>
      </c>
      <c r="C365" t="s">
        <v>74</v>
      </c>
      <c r="D365" t="s">
        <v>74</v>
      </c>
      <c r="E365" t="s">
        <v>74</v>
      </c>
      <c r="F365" t="s">
        <v>5357</v>
      </c>
      <c r="G365" t="s">
        <v>74</v>
      </c>
      <c r="H365" t="s">
        <v>74</v>
      </c>
      <c r="I365" t="s">
        <v>5358</v>
      </c>
      <c r="J365" t="s">
        <v>5359</v>
      </c>
      <c r="K365" t="s">
        <v>74</v>
      </c>
      <c r="L365" t="s">
        <v>74</v>
      </c>
      <c r="M365" t="s">
        <v>77</v>
      </c>
      <c r="N365" t="s">
        <v>153</v>
      </c>
      <c r="O365" t="s">
        <v>74</v>
      </c>
      <c r="P365" t="s">
        <v>74</v>
      </c>
      <c r="Q365" t="s">
        <v>74</v>
      </c>
      <c r="R365" t="s">
        <v>74</v>
      </c>
      <c r="S365" t="s">
        <v>74</v>
      </c>
      <c r="T365" t="s">
        <v>74</v>
      </c>
      <c r="U365" t="s">
        <v>5360</v>
      </c>
      <c r="V365" t="s">
        <v>5361</v>
      </c>
      <c r="W365" t="s">
        <v>5281</v>
      </c>
      <c r="X365" t="s">
        <v>5282</v>
      </c>
      <c r="Y365" t="s">
        <v>5362</v>
      </c>
      <c r="Z365" t="s">
        <v>74</v>
      </c>
      <c r="AA365" t="s">
        <v>5363</v>
      </c>
      <c r="AB365" t="s">
        <v>74</v>
      </c>
      <c r="AC365" t="s">
        <v>74</v>
      </c>
      <c r="AD365" t="s">
        <v>74</v>
      </c>
      <c r="AE365" t="s">
        <v>74</v>
      </c>
      <c r="AF365" t="s">
        <v>74</v>
      </c>
      <c r="AG365">
        <v>21</v>
      </c>
      <c r="AH365">
        <v>10</v>
      </c>
      <c r="AI365">
        <v>11</v>
      </c>
      <c r="AJ365">
        <v>0</v>
      </c>
      <c r="AK365">
        <v>0</v>
      </c>
      <c r="AL365" t="s">
        <v>1179</v>
      </c>
      <c r="AM365" t="s">
        <v>1180</v>
      </c>
      <c r="AN365" t="s">
        <v>1181</v>
      </c>
      <c r="AO365" t="s">
        <v>5364</v>
      </c>
      <c r="AP365" t="s">
        <v>74</v>
      </c>
      <c r="AQ365" t="s">
        <v>74</v>
      </c>
      <c r="AR365" t="s">
        <v>5365</v>
      </c>
      <c r="AS365" t="s">
        <v>5366</v>
      </c>
      <c r="AT365" t="s">
        <v>5287</v>
      </c>
      <c r="AU365">
        <v>2002</v>
      </c>
      <c r="AV365">
        <v>38</v>
      </c>
      <c r="AW365">
        <v>2</v>
      </c>
      <c r="AX365" t="s">
        <v>74</v>
      </c>
      <c r="AY365" t="s">
        <v>74</v>
      </c>
      <c r="AZ365" t="s">
        <v>74</v>
      </c>
      <c r="BA365" t="s">
        <v>74</v>
      </c>
      <c r="BB365">
        <v>179</v>
      </c>
      <c r="BC365">
        <v>183</v>
      </c>
      <c r="BD365" t="s">
        <v>74</v>
      </c>
      <c r="BE365" t="s">
        <v>74</v>
      </c>
      <c r="BF365" t="s">
        <v>74</v>
      </c>
      <c r="BG365" t="s">
        <v>74</v>
      </c>
      <c r="BH365" t="s">
        <v>74</v>
      </c>
      <c r="BI365">
        <v>5</v>
      </c>
      <c r="BJ365" t="s">
        <v>5144</v>
      </c>
      <c r="BK365" t="s">
        <v>170</v>
      </c>
      <c r="BL365" t="s">
        <v>5144</v>
      </c>
      <c r="BM365" t="s">
        <v>5367</v>
      </c>
      <c r="BN365" t="s">
        <v>74</v>
      </c>
      <c r="BO365" t="s">
        <v>74</v>
      </c>
      <c r="BP365" t="s">
        <v>74</v>
      </c>
      <c r="BQ365" t="s">
        <v>74</v>
      </c>
      <c r="BR365" t="s">
        <v>107</v>
      </c>
      <c r="BS365" t="s">
        <v>5368</v>
      </c>
      <c r="BT365" t="str">
        <f>HYPERLINK("https%3A%2F%2Fwww.webofscience.com%2Fwos%2Fwoscc%2Ffull-record%2FWOS:000175319800007","View Full Record in Web of Science")</f>
        <v>View Full Record in Web of Science</v>
      </c>
    </row>
    <row r="366" spans="1:72" x14ac:dyDescent="0.15">
      <c r="A366" t="s">
        <v>72</v>
      </c>
      <c r="B366" t="s">
        <v>5369</v>
      </c>
      <c r="C366" t="s">
        <v>74</v>
      </c>
      <c r="D366" t="s">
        <v>74</v>
      </c>
      <c r="E366" t="s">
        <v>74</v>
      </c>
      <c r="F366" t="s">
        <v>5369</v>
      </c>
      <c r="G366" t="s">
        <v>74</v>
      </c>
      <c r="H366" t="s">
        <v>74</v>
      </c>
      <c r="I366" t="s">
        <v>5370</v>
      </c>
      <c r="J366" t="s">
        <v>5371</v>
      </c>
      <c r="K366" t="s">
        <v>74</v>
      </c>
      <c r="L366" t="s">
        <v>74</v>
      </c>
      <c r="M366" t="s">
        <v>77</v>
      </c>
      <c r="N366" t="s">
        <v>153</v>
      </c>
      <c r="O366" t="s">
        <v>74</v>
      </c>
      <c r="P366" t="s">
        <v>74</v>
      </c>
      <c r="Q366" t="s">
        <v>74</v>
      </c>
      <c r="R366" t="s">
        <v>74</v>
      </c>
      <c r="S366" t="s">
        <v>74</v>
      </c>
      <c r="T366" t="s">
        <v>74</v>
      </c>
      <c r="U366" t="s">
        <v>74</v>
      </c>
      <c r="V366" t="s">
        <v>5372</v>
      </c>
      <c r="W366" t="s">
        <v>5373</v>
      </c>
      <c r="X366" t="s">
        <v>5374</v>
      </c>
      <c r="Y366" t="s">
        <v>5375</v>
      </c>
      <c r="Z366" t="s">
        <v>5376</v>
      </c>
      <c r="AA366" t="s">
        <v>74</v>
      </c>
      <c r="AB366" t="s">
        <v>5377</v>
      </c>
      <c r="AC366" t="s">
        <v>74</v>
      </c>
      <c r="AD366" t="s">
        <v>74</v>
      </c>
      <c r="AE366" t="s">
        <v>74</v>
      </c>
      <c r="AF366" t="s">
        <v>74</v>
      </c>
      <c r="AG366">
        <v>9</v>
      </c>
      <c r="AH366">
        <v>37</v>
      </c>
      <c r="AI366">
        <v>40</v>
      </c>
      <c r="AJ366">
        <v>0</v>
      </c>
      <c r="AK366">
        <v>5</v>
      </c>
      <c r="AL366" t="s">
        <v>1439</v>
      </c>
      <c r="AM366" t="s">
        <v>1440</v>
      </c>
      <c r="AN366" t="s">
        <v>1441</v>
      </c>
      <c r="AO366" t="s">
        <v>5378</v>
      </c>
      <c r="AP366" t="s">
        <v>5379</v>
      </c>
      <c r="AQ366" t="s">
        <v>74</v>
      </c>
      <c r="AR366" t="s">
        <v>5380</v>
      </c>
      <c r="AS366" t="s">
        <v>5381</v>
      </c>
      <c r="AT366" t="s">
        <v>4953</v>
      </c>
      <c r="AU366">
        <v>2002</v>
      </c>
      <c r="AV366">
        <v>19</v>
      </c>
      <c r="AW366">
        <v>3</v>
      </c>
      <c r="AX366" t="s">
        <v>74</v>
      </c>
      <c r="AY366" t="s">
        <v>74</v>
      </c>
      <c r="AZ366" t="s">
        <v>74</v>
      </c>
      <c r="BA366" t="s">
        <v>74</v>
      </c>
      <c r="BB366">
        <v>391</v>
      </c>
      <c r="BC366">
        <v>396</v>
      </c>
      <c r="BD366" t="s">
        <v>74</v>
      </c>
      <c r="BE366" t="s">
        <v>5382</v>
      </c>
      <c r="BF366" t="str">
        <f>HYPERLINK("http://dx.doi.org/10.1175/1520-0426-19.3.391","http://dx.doi.org/10.1175/1520-0426-19.3.391")</f>
        <v>http://dx.doi.org/10.1175/1520-0426-19.3.391</v>
      </c>
      <c r="BG366" t="s">
        <v>74</v>
      </c>
      <c r="BH366" t="s">
        <v>74</v>
      </c>
      <c r="BI366">
        <v>6</v>
      </c>
      <c r="BJ366" t="s">
        <v>5383</v>
      </c>
      <c r="BK366" t="s">
        <v>170</v>
      </c>
      <c r="BL366" t="s">
        <v>5384</v>
      </c>
      <c r="BM366" t="s">
        <v>5385</v>
      </c>
      <c r="BN366" t="s">
        <v>74</v>
      </c>
      <c r="BO366" t="s">
        <v>461</v>
      </c>
      <c r="BP366" t="s">
        <v>74</v>
      </c>
      <c r="BQ366" t="s">
        <v>74</v>
      </c>
      <c r="BR366" t="s">
        <v>107</v>
      </c>
      <c r="BS366" t="s">
        <v>5386</v>
      </c>
      <c r="BT366" t="str">
        <f>HYPERLINK("https%3A%2F%2Fwww.webofscience.com%2Fwos%2Fwoscc%2Ffull-record%2FWOS:000174019600009","View Full Record in Web of Science")</f>
        <v>View Full Record in Web of Science</v>
      </c>
    </row>
    <row r="367" spans="1:72" x14ac:dyDescent="0.15">
      <c r="A367" t="s">
        <v>72</v>
      </c>
      <c r="B367" t="s">
        <v>5387</v>
      </c>
      <c r="C367" t="s">
        <v>74</v>
      </c>
      <c r="D367" t="s">
        <v>74</v>
      </c>
      <c r="E367" t="s">
        <v>74</v>
      </c>
      <c r="F367" t="s">
        <v>5387</v>
      </c>
      <c r="G367" t="s">
        <v>74</v>
      </c>
      <c r="H367" t="s">
        <v>74</v>
      </c>
      <c r="I367" t="s">
        <v>5388</v>
      </c>
      <c r="J367" t="s">
        <v>2636</v>
      </c>
      <c r="K367" t="s">
        <v>74</v>
      </c>
      <c r="L367" t="s">
        <v>74</v>
      </c>
      <c r="M367" t="s">
        <v>77</v>
      </c>
      <c r="N367" t="s">
        <v>78</v>
      </c>
      <c r="O367" t="s">
        <v>5389</v>
      </c>
      <c r="P367" t="s">
        <v>5390</v>
      </c>
      <c r="Q367" t="s">
        <v>5391</v>
      </c>
      <c r="R367" t="s">
        <v>74</v>
      </c>
      <c r="S367" t="s">
        <v>74</v>
      </c>
      <c r="T367" t="s">
        <v>5392</v>
      </c>
      <c r="U367" t="s">
        <v>5393</v>
      </c>
      <c r="V367" t="s">
        <v>5394</v>
      </c>
      <c r="W367" t="s">
        <v>5395</v>
      </c>
      <c r="X367" t="s">
        <v>5282</v>
      </c>
      <c r="Y367" t="s">
        <v>5396</v>
      </c>
      <c r="Z367" t="s">
        <v>74</v>
      </c>
      <c r="AA367" t="s">
        <v>5397</v>
      </c>
      <c r="AB367" t="s">
        <v>5398</v>
      </c>
      <c r="AC367" t="s">
        <v>74</v>
      </c>
      <c r="AD367" t="s">
        <v>74</v>
      </c>
      <c r="AE367" t="s">
        <v>74</v>
      </c>
      <c r="AF367" t="s">
        <v>74</v>
      </c>
      <c r="AG367">
        <v>12</v>
      </c>
      <c r="AH367">
        <v>27</v>
      </c>
      <c r="AI367">
        <v>29</v>
      </c>
      <c r="AJ367">
        <v>0</v>
      </c>
      <c r="AK367">
        <v>1</v>
      </c>
      <c r="AL367" t="s">
        <v>1013</v>
      </c>
      <c r="AM367" t="s">
        <v>895</v>
      </c>
      <c r="AN367" t="s">
        <v>1014</v>
      </c>
      <c r="AO367" t="s">
        <v>2650</v>
      </c>
      <c r="AP367" t="s">
        <v>74</v>
      </c>
      <c r="AQ367" t="s">
        <v>74</v>
      </c>
      <c r="AR367" t="s">
        <v>2652</v>
      </c>
      <c r="AS367" t="s">
        <v>2653</v>
      </c>
      <c r="AT367" t="s">
        <v>5287</v>
      </c>
      <c r="AU367">
        <v>2002</v>
      </c>
      <c r="AV367">
        <v>64</v>
      </c>
      <c r="AW367" t="s">
        <v>3084</v>
      </c>
      <c r="AX367" t="s">
        <v>74</v>
      </c>
      <c r="AY367" t="s">
        <v>74</v>
      </c>
      <c r="AZ367" t="s">
        <v>74</v>
      </c>
      <c r="BA367" t="s">
        <v>74</v>
      </c>
      <c r="BB367">
        <v>585</v>
      </c>
      <c r="BC367">
        <v>591</v>
      </c>
      <c r="BD367" t="s">
        <v>5399</v>
      </c>
      <c r="BE367" t="s">
        <v>5400</v>
      </c>
      <c r="BF367" t="str">
        <f>HYPERLINK("http://dx.doi.org/10.1016/S1364-6826(02)00016-0","http://dx.doi.org/10.1016/S1364-6826(02)00016-0")</f>
        <v>http://dx.doi.org/10.1016/S1364-6826(02)00016-0</v>
      </c>
      <c r="BG367" t="s">
        <v>74</v>
      </c>
      <c r="BH367" t="s">
        <v>74</v>
      </c>
      <c r="BI367">
        <v>7</v>
      </c>
      <c r="BJ367" t="s">
        <v>2658</v>
      </c>
      <c r="BK367" t="s">
        <v>744</v>
      </c>
      <c r="BL367" t="s">
        <v>2658</v>
      </c>
      <c r="BM367" t="s">
        <v>5401</v>
      </c>
      <c r="BN367" t="s">
        <v>74</v>
      </c>
      <c r="BO367" t="s">
        <v>74</v>
      </c>
      <c r="BP367" t="s">
        <v>74</v>
      </c>
      <c r="BQ367" t="s">
        <v>74</v>
      </c>
      <c r="BR367" t="s">
        <v>107</v>
      </c>
      <c r="BS367" t="s">
        <v>5402</v>
      </c>
      <c r="BT367" t="str">
        <f>HYPERLINK("https%3A%2F%2Fwww.webofscience.com%2Fwos%2Fwoscc%2Ffull-record%2FWOS:000176547200015","View Full Record in Web of Science")</f>
        <v>View Full Record in Web of Science</v>
      </c>
    </row>
    <row r="368" spans="1:72" x14ac:dyDescent="0.15">
      <c r="A368" t="s">
        <v>72</v>
      </c>
      <c r="B368" t="s">
        <v>5403</v>
      </c>
      <c r="C368" t="s">
        <v>74</v>
      </c>
      <c r="D368" t="s">
        <v>74</v>
      </c>
      <c r="E368" t="s">
        <v>74</v>
      </c>
      <c r="F368" t="s">
        <v>5403</v>
      </c>
      <c r="G368" t="s">
        <v>74</v>
      </c>
      <c r="H368" t="s">
        <v>74</v>
      </c>
      <c r="I368" t="s">
        <v>5404</v>
      </c>
      <c r="J368" t="s">
        <v>2636</v>
      </c>
      <c r="K368" t="s">
        <v>74</v>
      </c>
      <c r="L368" t="s">
        <v>74</v>
      </c>
      <c r="M368" t="s">
        <v>77</v>
      </c>
      <c r="N368" t="s">
        <v>78</v>
      </c>
      <c r="O368" t="s">
        <v>5389</v>
      </c>
      <c r="P368" t="s">
        <v>5390</v>
      </c>
      <c r="Q368" t="s">
        <v>5391</v>
      </c>
      <c r="R368" t="s">
        <v>74</v>
      </c>
      <c r="S368" t="s">
        <v>74</v>
      </c>
      <c r="T368" t="s">
        <v>5405</v>
      </c>
      <c r="U368" t="s">
        <v>5406</v>
      </c>
      <c r="V368" t="s">
        <v>5407</v>
      </c>
      <c r="W368" t="s">
        <v>5408</v>
      </c>
      <c r="X368" t="s">
        <v>2048</v>
      </c>
      <c r="Y368" t="s">
        <v>5409</v>
      </c>
      <c r="Z368" t="s">
        <v>74</v>
      </c>
      <c r="AA368" t="s">
        <v>5410</v>
      </c>
      <c r="AB368" t="s">
        <v>74</v>
      </c>
      <c r="AC368" t="s">
        <v>74</v>
      </c>
      <c r="AD368" t="s">
        <v>74</v>
      </c>
      <c r="AE368" t="s">
        <v>74</v>
      </c>
      <c r="AF368" t="s">
        <v>74</v>
      </c>
      <c r="AG368">
        <v>77</v>
      </c>
      <c r="AH368">
        <v>4</v>
      </c>
      <c r="AI368">
        <v>4</v>
      </c>
      <c r="AJ368">
        <v>0</v>
      </c>
      <c r="AK368">
        <v>2</v>
      </c>
      <c r="AL368" t="s">
        <v>1013</v>
      </c>
      <c r="AM368" t="s">
        <v>895</v>
      </c>
      <c r="AN368" t="s">
        <v>1014</v>
      </c>
      <c r="AO368" t="s">
        <v>2650</v>
      </c>
      <c r="AP368" t="s">
        <v>74</v>
      </c>
      <c r="AQ368" t="s">
        <v>74</v>
      </c>
      <c r="AR368" t="s">
        <v>2652</v>
      </c>
      <c r="AS368" t="s">
        <v>2653</v>
      </c>
      <c r="AT368" t="s">
        <v>5287</v>
      </c>
      <c r="AU368">
        <v>2002</v>
      </c>
      <c r="AV368">
        <v>64</v>
      </c>
      <c r="AW368" t="s">
        <v>3084</v>
      </c>
      <c r="AX368" t="s">
        <v>74</v>
      </c>
      <c r="AY368" t="s">
        <v>74</v>
      </c>
      <c r="AZ368" t="s">
        <v>74</v>
      </c>
      <c r="BA368" t="s">
        <v>74</v>
      </c>
      <c r="BB368">
        <v>669</v>
      </c>
      <c r="BC368">
        <v>676</v>
      </c>
      <c r="BD368" t="s">
        <v>5411</v>
      </c>
      <c r="BE368" t="s">
        <v>5412</v>
      </c>
      <c r="BF368" t="str">
        <f>HYPERLINK("http://dx.doi.org/10.1016/S1364-6826(02)00028-7","http://dx.doi.org/10.1016/S1364-6826(02)00028-7")</f>
        <v>http://dx.doi.org/10.1016/S1364-6826(02)00028-7</v>
      </c>
      <c r="BG368" t="s">
        <v>74</v>
      </c>
      <c r="BH368" t="s">
        <v>74</v>
      </c>
      <c r="BI368">
        <v>8</v>
      </c>
      <c r="BJ368" t="s">
        <v>2658</v>
      </c>
      <c r="BK368" t="s">
        <v>744</v>
      </c>
      <c r="BL368" t="s">
        <v>2658</v>
      </c>
      <c r="BM368" t="s">
        <v>5401</v>
      </c>
      <c r="BN368" t="s">
        <v>74</v>
      </c>
      <c r="BO368" t="s">
        <v>74</v>
      </c>
      <c r="BP368" t="s">
        <v>74</v>
      </c>
      <c r="BQ368" t="s">
        <v>74</v>
      </c>
      <c r="BR368" t="s">
        <v>107</v>
      </c>
      <c r="BS368" t="s">
        <v>5413</v>
      </c>
      <c r="BT368" t="str">
        <f>HYPERLINK("https%3A%2F%2Fwww.webofscience.com%2Fwos%2Fwoscc%2Ffull-record%2FWOS:000176547200027","View Full Record in Web of Science")</f>
        <v>View Full Record in Web of Science</v>
      </c>
    </row>
    <row r="369" spans="1:72" x14ac:dyDescent="0.15">
      <c r="A369" t="s">
        <v>72</v>
      </c>
      <c r="B369" t="s">
        <v>5414</v>
      </c>
      <c r="C369" t="s">
        <v>74</v>
      </c>
      <c r="D369" t="s">
        <v>74</v>
      </c>
      <c r="E369" t="s">
        <v>74</v>
      </c>
      <c r="F369" t="s">
        <v>5414</v>
      </c>
      <c r="G369" t="s">
        <v>74</v>
      </c>
      <c r="H369" t="s">
        <v>74</v>
      </c>
      <c r="I369" t="s">
        <v>5415</v>
      </c>
      <c r="J369" t="s">
        <v>5416</v>
      </c>
      <c r="K369" t="s">
        <v>74</v>
      </c>
      <c r="L369" t="s">
        <v>74</v>
      </c>
      <c r="M369" t="s">
        <v>77</v>
      </c>
      <c r="N369" t="s">
        <v>153</v>
      </c>
      <c r="O369" t="s">
        <v>74</v>
      </c>
      <c r="P369" t="s">
        <v>74</v>
      </c>
      <c r="Q369" t="s">
        <v>74</v>
      </c>
      <c r="R369" t="s">
        <v>74</v>
      </c>
      <c r="S369" t="s">
        <v>74</v>
      </c>
      <c r="T369" t="s">
        <v>5417</v>
      </c>
      <c r="U369" t="s">
        <v>5418</v>
      </c>
      <c r="V369" t="s">
        <v>5419</v>
      </c>
      <c r="W369" t="s">
        <v>5420</v>
      </c>
      <c r="X369" t="s">
        <v>5421</v>
      </c>
      <c r="Y369" t="s">
        <v>5422</v>
      </c>
      <c r="Z369" t="s">
        <v>74</v>
      </c>
      <c r="AA369" t="s">
        <v>5423</v>
      </c>
      <c r="AB369" t="s">
        <v>5424</v>
      </c>
      <c r="AC369" t="s">
        <v>74</v>
      </c>
      <c r="AD369" t="s">
        <v>74</v>
      </c>
      <c r="AE369" t="s">
        <v>74</v>
      </c>
      <c r="AF369" t="s">
        <v>74</v>
      </c>
      <c r="AG369">
        <v>32</v>
      </c>
      <c r="AH369">
        <v>46</v>
      </c>
      <c r="AI369">
        <v>49</v>
      </c>
      <c r="AJ369">
        <v>0</v>
      </c>
      <c r="AK369">
        <v>24</v>
      </c>
      <c r="AL369" t="s">
        <v>5425</v>
      </c>
      <c r="AM369" t="s">
        <v>5426</v>
      </c>
      <c r="AN369" t="s">
        <v>5427</v>
      </c>
      <c r="AO369" t="s">
        <v>5428</v>
      </c>
      <c r="AP369" t="s">
        <v>74</v>
      </c>
      <c r="AQ369" t="s">
        <v>74</v>
      </c>
      <c r="AR369" t="s">
        <v>5429</v>
      </c>
      <c r="AS369" t="s">
        <v>5430</v>
      </c>
      <c r="AT369" t="s">
        <v>4953</v>
      </c>
      <c r="AU369">
        <v>2002</v>
      </c>
      <c r="AV369">
        <v>205</v>
      </c>
      <c r="AW369">
        <v>6</v>
      </c>
      <c r="AX369" t="s">
        <v>74</v>
      </c>
      <c r="AY369" t="s">
        <v>74</v>
      </c>
      <c r="AZ369" t="s">
        <v>74</v>
      </c>
      <c r="BA369" t="s">
        <v>74</v>
      </c>
      <c r="BB369">
        <v>769</v>
      </c>
      <c r="BC369">
        <v>779</v>
      </c>
      <c r="BD369" t="s">
        <v>74</v>
      </c>
      <c r="BE369" t="s">
        <v>74</v>
      </c>
      <c r="BF369" t="s">
        <v>74</v>
      </c>
      <c r="BG369" t="s">
        <v>74</v>
      </c>
      <c r="BH369" t="s">
        <v>74</v>
      </c>
      <c r="BI369">
        <v>11</v>
      </c>
      <c r="BJ369" t="s">
        <v>1814</v>
      </c>
      <c r="BK369" t="s">
        <v>170</v>
      </c>
      <c r="BL369" t="s">
        <v>1815</v>
      </c>
      <c r="BM369" t="s">
        <v>5431</v>
      </c>
      <c r="BN369">
        <v>11914385</v>
      </c>
      <c r="BO369" t="s">
        <v>74</v>
      </c>
      <c r="BP369" t="s">
        <v>74</v>
      </c>
      <c r="BQ369" t="s">
        <v>74</v>
      </c>
      <c r="BR369" t="s">
        <v>107</v>
      </c>
      <c r="BS369" t="s">
        <v>5432</v>
      </c>
      <c r="BT369" t="str">
        <f>HYPERLINK("https%3A%2F%2Fwww.webofscience.com%2Fwos%2Fwoscc%2Ffull-record%2FWOS:000174805600005","View Full Record in Web of Science")</f>
        <v>View Full Record in Web of Science</v>
      </c>
    </row>
    <row r="370" spans="1:72" x14ac:dyDescent="0.15">
      <c r="A370" t="s">
        <v>72</v>
      </c>
      <c r="B370" t="s">
        <v>5433</v>
      </c>
      <c r="C370" t="s">
        <v>74</v>
      </c>
      <c r="D370" t="s">
        <v>74</v>
      </c>
      <c r="E370" t="s">
        <v>74</v>
      </c>
      <c r="F370" t="s">
        <v>5433</v>
      </c>
      <c r="G370" t="s">
        <v>74</v>
      </c>
      <c r="H370" t="s">
        <v>74</v>
      </c>
      <c r="I370" t="s">
        <v>5434</v>
      </c>
      <c r="J370" t="s">
        <v>4120</v>
      </c>
      <c r="K370" t="s">
        <v>74</v>
      </c>
      <c r="L370" t="s">
        <v>74</v>
      </c>
      <c r="M370" t="s">
        <v>77</v>
      </c>
      <c r="N370" t="s">
        <v>153</v>
      </c>
      <c r="O370" t="s">
        <v>74</v>
      </c>
      <c r="P370" t="s">
        <v>74</v>
      </c>
      <c r="Q370" t="s">
        <v>74</v>
      </c>
      <c r="R370" t="s">
        <v>74</v>
      </c>
      <c r="S370" t="s">
        <v>74</v>
      </c>
      <c r="T370" t="s">
        <v>5435</v>
      </c>
      <c r="U370" t="s">
        <v>5436</v>
      </c>
      <c r="V370" t="s">
        <v>5437</v>
      </c>
      <c r="W370" t="s">
        <v>5438</v>
      </c>
      <c r="X370" t="s">
        <v>5439</v>
      </c>
      <c r="Y370" t="s">
        <v>5440</v>
      </c>
      <c r="Z370" t="s">
        <v>5441</v>
      </c>
      <c r="AA370" t="s">
        <v>4011</v>
      </c>
      <c r="AB370" t="s">
        <v>4012</v>
      </c>
      <c r="AC370" t="s">
        <v>74</v>
      </c>
      <c r="AD370" t="s">
        <v>74</v>
      </c>
      <c r="AE370" t="s">
        <v>74</v>
      </c>
      <c r="AF370" t="s">
        <v>74</v>
      </c>
      <c r="AG370">
        <v>30</v>
      </c>
      <c r="AH370">
        <v>19</v>
      </c>
      <c r="AI370">
        <v>23</v>
      </c>
      <c r="AJ370">
        <v>0</v>
      </c>
      <c r="AK370">
        <v>2</v>
      </c>
      <c r="AL370" t="s">
        <v>161</v>
      </c>
      <c r="AM370" t="s">
        <v>162</v>
      </c>
      <c r="AN370" t="s">
        <v>163</v>
      </c>
      <c r="AO370" t="s">
        <v>4130</v>
      </c>
      <c r="AP370" t="s">
        <v>4131</v>
      </c>
      <c r="AQ370" t="s">
        <v>74</v>
      </c>
      <c r="AR370" t="s">
        <v>4132</v>
      </c>
      <c r="AS370" t="s">
        <v>4133</v>
      </c>
      <c r="AT370" t="s">
        <v>4953</v>
      </c>
      <c r="AU370">
        <v>2002</v>
      </c>
      <c r="AV370">
        <v>107</v>
      </c>
      <c r="AW370" t="s">
        <v>5442</v>
      </c>
      <c r="AX370" t="s">
        <v>74</v>
      </c>
      <c r="AY370" t="s">
        <v>74</v>
      </c>
      <c r="AZ370" t="s">
        <v>74</v>
      </c>
      <c r="BA370" t="s">
        <v>74</v>
      </c>
      <c r="BB370" t="s">
        <v>74</v>
      </c>
      <c r="BC370" t="s">
        <v>74</v>
      </c>
      <c r="BD370">
        <v>1036</v>
      </c>
      <c r="BE370" t="s">
        <v>5443</v>
      </c>
      <c r="BF370" t="str">
        <f>HYPERLINK("http://dx.doi.org/10.1029/2001JA900095","http://dx.doi.org/10.1029/2001JA900095")</f>
        <v>http://dx.doi.org/10.1029/2001JA900095</v>
      </c>
      <c r="BG370" t="s">
        <v>74</v>
      </c>
      <c r="BH370" t="s">
        <v>74</v>
      </c>
      <c r="BI370">
        <v>17</v>
      </c>
      <c r="BJ370" t="s">
        <v>1856</v>
      </c>
      <c r="BK370" t="s">
        <v>170</v>
      </c>
      <c r="BL370" t="s">
        <v>1856</v>
      </c>
      <c r="BM370" t="s">
        <v>5444</v>
      </c>
      <c r="BN370" t="s">
        <v>74</v>
      </c>
      <c r="BO370" t="s">
        <v>2089</v>
      </c>
      <c r="BP370" t="s">
        <v>74</v>
      </c>
      <c r="BQ370" t="s">
        <v>74</v>
      </c>
      <c r="BR370" t="s">
        <v>107</v>
      </c>
      <c r="BS370" t="s">
        <v>5445</v>
      </c>
      <c r="BT370" t="str">
        <f>HYPERLINK("https%3A%2F%2Fwww.webofscience.com%2Fwos%2Fwoscc%2Ffull-record%2FWOS:000178908300002","View Full Record in Web of Science")</f>
        <v>View Full Record in Web of Science</v>
      </c>
    </row>
    <row r="371" spans="1:72" x14ac:dyDescent="0.15">
      <c r="A371" t="s">
        <v>72</v>
      </c>
      <c r="B371" t="s">
        <v>5446</v>
      </c>
      <c r="C371" t="s">
        <v>74</v>
      </c>
      <c r="D371" t="s">
        <v>74</v>
      </c>
      <c r="E371" t="s">
        <v>74</v>
      </c>
      <c r="F371" t="s">
        <v>5446</v>
      </c>
      <c r="G371" t="s">
        <v>74</v>
      </c>
      <c r="H371" t="s">
        <v>74</v>
      </c>
      <c r="I371" t="s">
        <v>5447</v>
      </c>
      <c r="J371" t="s">
        <v>5448</v>
      </c>
      <c r="K371" t="s">
        <v>74</v>
      </c>
      <c r="L371" t="s">
        <v>74</v>
      </c>
      <c r="M371" t="s">
        <v>77</v>
      </c>
      <c r="N371" t="s">
        <v>153</v>
      </c>
      <c r="O371" t="s">
        <v>74</v>
      </c>
      <c r="P371" t="s">
        <v>74</v>
      </c>
      <c r="Q371" t="s">
        <v>74</v>
      </c>
      <c r="R371" t="s">
        <v>74</v>
      </c>
      <c r="S371" t="s">
        <v>74</v>
      </c>
      <c r="T371" t="s">
        <v>74</v>
      </c>
      <c r="U371" t="s">
        <v>5449</v>
      </c>
      <c r="V371" t="s">
        <v>5450</v>
      </c>
      <c r="W371" t="s">
        <v>5451</v>
      </c>
      <c r="X371" t="s">
        <v>5452</v>
      </c>
      <c r="Y371" t="s">
        <v>5453</v>
      </c>
      <c r="Z371" t="s">
        <v>5454</v>
      </c>
      <c r="AA371" t="s">
        <v>5455</v>
      </c>
      <c r="AB371" t="s">
        <v>5456</v>
      </c>
      <c r="AC371" t="s">
        <v>74</v>
      </c>
      <c r="AD371" t="s">
        <v>74</v>
      </c>
      <c r="AE371" t="s">
        <v>74</v>
      </c>
      <c r="AF371" t="s">
        <v>74</v>
      </c>
      <c r="AG371">
        <v>43</v>
      </c>
      <c r="AH371">
        <v>18</v>
      </c>
      <c r="AI371">
        <v>20</v>
      </c>
      <c r="AJ371">
        <v>0</v>
      </c>
      <c r="AK371">
        <v>8</v>
      </c>
      <c r="AL371" t="s">
        <v>5457</v>
      </c>
      <c r="AM371" t="s">
        <v>5458</v>
      </c>
      <c r="AN371" t="s">
        <v>5459</v>
      </c>
      <c r="AO371" t="s">
        <v>5460</v>
      </c>
      <c r="AP371" t="s">
        <v>5461</v>
      </c>
      <c r="AQ371" t="s">
        <v>74</v>
      </c>
      <c r="AR371" t="s">
        <v>5462</v>
      </c>
      <c r="AS371" t="s">
        <v>5463</v>
      </c>
      <c r="AT371" t="s">
        <v>4953</v>
      </c>
      <c r="AU371">
        <v>2002</v>
      </c>
      <c r="AV371">
        <v>60</v>
      </c>
      <c r="AW371">
        <v>2</v>
      </c>
      <c r="AX371" t="s">
        <v>74</v>
      </c>
      <c r="AY371" t="s">
        <v>74</v>
      </c>
      <c r="AZ371" t="s">
        <v>74</v>
      </c>
      <c r="BA371" t="s">
        <v>74</v>
      </c>
      <c r="BB371">
        <v>347</v>
      </c>
      <c r="BC371">
        <v>365</v>
      </c>
      <c r="BD371" t="s">
        <v>74</v>
      </c>
      <c r="BE371" t="s">
        <v>5464</v>
      </c>
      <c r="BF371" t="str">
        <f>HYPERLINK("http://dx.doi.org/10.1357/00222400260497525","http://dx.doi.org/10.1357/00222400260497525")</f>
        <v>http://dx.doi.org/10.1357/00222400260497525</v>
      </c>
      <c r="BG371" t="s">
        <v>74</v>
      </c>
      <c r="BH371" t="s">
        <v>74</v>
      </c>
      <c r="BI371">
        <v>19</v>
      </c>
      <c r="BJ371" t="s">
        <v>1155</v>
      </c>
      <c r="BK371" t="s">
        <v>170</v>
      </c>
      <c r="BL371" t="s">
        <v>1155</v>
      </c>
      <c r="BM371" t="s">
        <v>5465</v>
      </c>
      <c r="BN371" t="s">
        <v>74</v>
      </c>
      <c r="BO371" t="s">
        <v>74</v>
      </c>
      <c r="BP371" t="s">
        <v>74</v>
      </c>
      <c r="BQ371" t="s">
        <v>74</v>
      </c>
      <c r="BR371" t="s">
        <v>107</v>
      </c>
      <c r="BS371" t="s">
        <v>5466</v>
      </c>
      <c r="BT371" t="str">
        <f>HYPERLINK("https%3A%2F%2Fwww.webofscience.com%2Fwos%2Fwoscc%2Ffull-record%2FWOS:000175624500007","View Full Record in Web of Science")</f>
        <v>View Full Record in Web of Science</v>
      </c>
    </row>
    <row r="372" spans="1:72" x14ac:dyDescent="0.15">
      <c r="A372" t="s">
        <v>72</v>
      </c>
      <c r="B372" t="s">
        <v>5467</v>
      </c>
      <c r="C372" t="s">
        <v>74</v>
      </c>
      <c r="D372" t="s">
        <v>74</v>
      </c>
      <c r="E372" t="s">
        <v>74</v>
      </c>
      <c r="F372" t="s">
        <v>5467</v>
      </c>
      <c r="G372" t="s">
        <v>74</v>
      </c>
      <c r="H372" t="s">
        <v>74</v>
      </c>
      <c r="I372" t="s">
        <v>5468</v>
      </c>
      <c r="J372" t="s">
        <v>5469</v>
      </c>
      <c r="K372" t="s">
        <v>74</v>
      </c>
      <c r="L372" t="s">
        <v>74</v>
      </c>
      <c r="M372" t="s">
        <v>77</v>
      </c>
      <c r="N372" t="s">
        <v>153</v>
      </c>
      <c r="O372" t="s">
        <v>74</v>
      </c>
      <c r="P372" t="s">
        <v>74</v>
      </c>
      <c r="Q372" t="s">
        <v>74</v>
      </c>
      <c r="R372" t="s">
        <v>74</v>
      </c>
      <c r="S372" t="s">
        <v>74</v>
      </c>
      <c r="T372" t="s">
        <v>74</v>
      </c>
      <c r="U372" t="s">
        <v>5470</v>
      </c>
      <c r="V372" t="s">
        <v>5471</v>
      </c>
      <c r="W372" t="s">
        <v>5472</v>
      </c>
      <c r="X372" t="s">
        <v>5473</v>
      </c>
      <c r="Y372" t="s">
        <v>5474</v>
      </c>
      <c r="Z372" t="s">
        <v>74</v>
      </c>
      <c r="AA372" t="s">
        <v>5475</v>
      </c>
      <c r="AB372" t="s">
        <v>5476</v>
      </c>
      <c r="AC372" t="s">
        <v>74</v>
      </c>
      <c r="AD372" t="s">
        <v>74</v>
      </c>
      <c r="AE372" t="s">
        <v>74</v>
      </c>
      <c r="AF372" t="s">
        <v>74</v>
      </c>
      <c r="AG372">
        <v>36</v>
      </c>
      <c r="AH372">
        <v>42</v>
      </c>
      <c r="AI372">
        <v>46</v>
      </c>
      <c r="AJ372">
        <v>0</v>
      </c>
      <c r="AK372">
        <v>6</v>
      </c>
      <c r="AL372" t="s">
        <v>5477</v>
      </c>
      <c r="AM372" t="s">
        <v>4714</v>
      </c>
      <c r="AN372" t="s">
        <v>5478</v>
      </c>
      <c r="AO372" t="s">
        <v>5479</v>
      </c>
      <c r="AP372" t="s">
        <v>74</v>
      </c>
      <c r="AQ372" t="s">
        <v>74</v>
      </c>
      <c r="AR372" t="s">
        <v>5480</v>
      </c>
      <c r="AS372" t="s">
        <v>5481</v>
      </c>
      <c r="AT372" t="s">
        <v>4953</v>
      </c>
      <c r="AU372">
        <v>2002</v>
      </c>
      <c r="AV372">
        <v>111</v>
      </c>
      <c r="AW372">
        <v>3</v>
      </c>
      <c r="AX372" t="s">
        <v>74</v>
      </c>
      <c r="AY372" t="s">
        <v>74</v>
      </c>
      <c r="AZ372" t="s">
        <v>74</v>
      </c>
      <c r="BA372" t="s">
        <v>74</v>
      </c>
      <c r="BB372">
        <v>1197</v>
      </c>
      <c r="BC372">
        <v>1210</v>
      </c>
      <c r="BD372" t="s">
        <v>74</v>
      </c>
      <c r="BE372" t="s">
        <v>5482</v>
      </c>
      <c r="BF372" t="str">
        <f>HYPERLINK("http://dx.doi.org/10.1121/1.1433813","http://dx.doi.org/10.1121/1.1433813")</f>
        <v>http://dx.doi.org/10.1121/1.1433813</v>
      </c>
      <c r="BG372" t="s">
        <v>74</v>
      </c>
      <c r="BH372" t="s">
        <v>74</v>
      </c>
      <c r="BI372">
        <v>14</v>
      </c>
      <c r="BJ372" t="s">
        <v>5483</v>
      </c>
      <c r="BK372" t="s">
        <v>170</v>
      </c>
      <c r="BL372" t="s">
        <v>5483</v>
      </c>
      <c r="BM372" t="s">
        <v>5484</v>
      </c>
      <c r="BN372">
        <v>11931297</v>
      </c>
      <c r="BO372" t="s">
        <v>106</v>
      </c>
      <c r="BP372" t="s">
        <v>74</v>
      </c>
      <c r="BQ372" t="s">
        <v>74</v>
      </c>
      <c r="BR372" t="s">
        <v>107</v>
      </c>
      <c r="BS372" t="s">
        <v>5485</v>
      </c>
      <c r="BT372" t="str">
        <f>HYPERLINK("https%3A%2F%2Fwww.webofscience.com%2Fwos%2Fwoscc%2Ffull-record%2FWOS:000174410100007","View Full Record in Web of Science")</f>
        <v>View Full Record in Web of Science</v>
      </c>
    </row>
    <row r="373" spans="1:72" x14ac:dyDescent="0.15">
      <c r="A373" t="s">
        <v>72</v>
      </c>
      <c r="B373" t="s">
        <v>5486</v>
      </c>
      <c r="C373" t="s">
        <v>74</v>
      </c>
      <c r="D373" t="s">
        <v>74</v>
      </c>
      <c r="E373" t="s">
        <v>74</v>
      </c>
      <c r="F373" t="s">
        <v>5486</v>
      </c>
      <c r="G373" t="s">
        <v>74</v>
      </c>
      <c r="H373" t="s">
        <v>74</v>
      </c>
      <c r="I373" t="s">
        <v>5487</v>
      </c>
      <c r="J373" t="s">
        <v>2860</v>
      </c>
      <c r="K373" t="s">
        <v>74</v>
      </c>
      <c r="L373" t="s">
        <v>74</v>
      </c>
      <c r="M373" t="s">
        <v>77</v>
      </c>
      <c r="N373" t="s">
        <v>153</v>
      </c>
      <c r="O373" t="s">
        <v>74</v>
      </c>
      <c r="P373" t="s">
        <v>74</v>
      </c>
      <c r="Q373" t="s">
        <v>74</v>
      </c>
      <c r="R373" t="s">
        <v>74</v>
      </c>
      <c r="S373" t="s">
        <v>74</v>
      </c>
      <c r="T373" t="s">
        <v>5488</v>
      </c>
      <c r="U373" t="s">
        <v>5489</v>
      </c>
      <c r="V373" t="s">
        <v>5490</v>
      </c>
      <c r="W373" t="s">
        <v>5491</v>
      </c>
      <c r="X373" t="s">
        <v>5492</v>
      </c>
      <c r="Y373" t="s">
        <v>300</v>
      </c>
      <c r="Z373" t="s">
        <v>74</v>
      </c>
      <c r="AA373" t="s">
        <v>5493</v>
      </c>
      <c r="AB373" t="s">
        <v>5494</v>
      </c>
      <c r="AC373" t="s">
        <v>74</v>
      </c>
      <c r="AD373" t="s">
        <v>74</v>
      </c>
      <c r="AE373" t="s">
        <v>74</v>
      </c>
      <c r="AF373" t="s">
        <v>74</v>
      </c>
      <c r="AG373">
        <v>19</v>
      </c>
      <c r="AH373">
        <v>57</v>
      </c>
      <c r="AI373">
        <v>64</v>
      </c>
      <c r="AJ373">
        <v>0</v>
      </c>
      <c r="AK373">
        <v>2</v>
      </c>
      <c r="AL373" t="s">
        <v>2866</v>
      </c>
      <c r="AM373" t="s">
        <v>2867</v>
      </c>
      <c r="AN373" t="s">
        <v>2868</v>
      </c>
      <c r="AO373" t="s">
        <v>2869</v>
      </c>
      <c r="AP373" t="s">
        <v>2870</v>
      </c>
      <c r="AQ373" t="s">
        <v>74</v>
      </c>
      <c r="AR373" t="s">
        <v>2871</v>
      </c>
      <c r="AS373" t="s">
        <v>2872</v>
      </c>
      <c r="AT373" t="s">
        <v>4953</v>
      </c>
      <c r="AU373">
        <v>2002</v>
      </c>
      <c r="AV373">
        <v>159</v>
      </c>
      <c r="AW373" t="s">
        <v>74</v>
      </c>
      <c r="AX373">
        <v>2</v>
      </c>
      <c r="AY373" t="s">
        <v>74</v>
      </c>
      <c r="AZ373" t="s">
        <v>74</v>
      </c>
      <c r="BA373" t="s">
        <v>74</v>
      </c>
      <c r="BB373">
        <v>113</v>
      </c>
      <c r="BC373">
        <v>116</v>
      </c>
      <c r="BD373" t="s">
        <v>74</v>
      </c>
      <c r="BE373" t="s">
        <v>5495</v>
      </c>
      <c r="BF373" t="str">
        <f>HYPERLINK("http://dx.doi.org/10.1144/0016-764901-090","http://dx.doi.org/10.1144/0016-764901-090")</f>
        <v>http://dx.doi.org/10.1144/0016-764901-090</v>
      </c>
      <c r="BG373" t="s">
        <v>74</v>
      </c>
      <c r="BH373" t="s">
        <v>74</v>
      </c>
      <c r="BI373">
        <v>4</v>
      </c>
      <c r="BJ373" t="s">
        <v>608</v>
      </c>
      <c r="BK373" t="s">
        <v>170</v>
      </c>
      <c r="BL373" t="s">
        <v>439</v>
      </c>
      <c r="BM373" t="s">
        <v>5496</v>
      </c>
      <c r="BN373" t="s">
        <v>74</v>
      </c>
      <c r="BO373" t="s">
        <v>74</v>
      </c>
      <c r="BP373" t="s">
        <v>74</v>
      </c>
      <c r="BQ373" t="s">
        <v>74</v>
      </c>
      <c r="BR373" t="s">
        <v>107</v>
      </c>
      <c r="BS373" t="s">
        <v>5497</v>
      </c>
      <c r="BT373" t="str">
        <f>HYPERLINK("https%3A%2F%2Fwww.webofscience.com%2Fwos%2Fwoscc%2Ffull-record%2FWOS:000174257100003","View Full Record in Web of Science")</f>
        <v>View Full Record in Web of Science</v>
      </c>
    </row>
    <row r="374" spans="1:72" x14ac:dyDescent="0.15">
      <c r="A374" t="s">
        <v>72</v>
      </c>
      <c r="B374" t="s">
        <v>5498</v>
      </c>
      <c r="C374" t="s">
        <v>74</v>
      </c>
      <c r="D374" t="s">
        <v>74</v>
      </c>
      <c r="E374" t="s">
        <v>74</v>
      </c>
      <c r="F374" t="s">
        <v>5498</v>
      </c>
      <c r="G374" t="s">
        <v>74</v>
      </c>
      <c r="H374" t="s">
        <v>74</v>
      </c>
      <c r="I374" t="s">
        <v>5499</v>
      </c>
      <c r="J374" t="s">
        <v>2860</v>
      </c>
      <c r="K374" t="s">
        <v>74</v>
      </c>
      <c r="L374" t="s">
        <v>74</v>
      </c>
      <c r="M374" t="s">
        <v>77</v>
      </c>
      <c r="N374" t="s">
        <v>153</v>
      </c>
      <c r="O374" t="s">
        <v>74</v>
      </c>
      <c r="P374" t="s">
        <v>74</v>
      </c>
      <c r="Q374" t="s">
        <v>74</v>
      </c>
      <c r="R374" t="s">
        <v>74</v>
      </c>
      <c r="S374" t="s">
        <v>74</v>
      </c>
      <c r="T374" t="s">
        <v>5500</v>
      </c>
      <c r="U374" t="s">
        <v>5501</v>
      </c>
      <c r="V374" t="s">
        <v>5502</v>
      </c>
      <c r="W374" t="s">
        <v>5503</v>
      </c>
      <c r="X374" t="s">
        <v>5504</v>
      </c>
      <c r="Y374" t="s">
        <v>5505</v>
      </c>
      <c r="Z374" t="s">
        <v>74</v>
      </c>
      <c r="AA374" t="s">
        <v>5506</v>
      </c>
      <c r="AB374" t="s">
        <v>5494</v>
      </c>
      <c r="AC374" t="s">
        <v>74</v>
      </c>
      <c r="AD374" t="s">
        <v>74</v>
      </c>
      <c r="AE374" t="s">
        <v>74</v>
      </c>
      <c r="AF374" t="s">
        <v>74</v>
      </c>
      <c r="AG374">
        <v>49</v>
      </c>
      <c r="AH374">
        <v>96</v>
      </c>
      <c r="AI374">
        <v>105</v>
      </c>
      <c r="AJ374">
        <v>0</v>
      </c>
      <c r="AK374">
        <v>3</v>
      </c>
      <c r="AL374" t="s">
        <v>2866</v>
      </c>
      <c r="AM374" t="s">
        <v>2867</v>
      </c>
      <c r="AN374" t="s">
        <v>2868</v>
      </c>
      <c r="AO374" t="s">
        <v>2869</v>
      </c>
      <c r="AP374" t="s">
        <v>2870</v>
      </c>
      <c r="AQ374" t="s">
        <v>74</v>
      </c>
      <c r="AR374" t="s">
        <v>2871</v>
      </c>
      <c r="AS374" t="s">
        <v>2872</v>
      </c>
      <c r="AT374" t="s">
        <v>4953</v>
      </c>
      <c r="AU374">
        <v>2002</v>
      </c>
      <c r="AV374">
        <v>159</v>
      </c>
      <c r="AW374" t="s">
        <v>74</v>
      </c>
      <c r="AX374">
        <v>2</v>
      </c>
      <c r="AY374" t="s">
        <v>74</v>
      </c>
      <c r="AZ374" t="s">
        <v>74</v>
      </c>
      <c r="BA374" t="s">
        <v>74</v>
      </c>
      <c r="BB374">
        <v>145</v>
      </c>
      <c r="BC374">
        <v>157</v>
      </c>
      <c r="BD374" t="s">
        <v>74</v>
      </c>
      <c r="BE374" t="s">
        <v>5507</v>
      </c>
      <c r="BF374" t="str">
        <f>HYPERLINK("http://dx.doi.org/10.1144/0016-764901-020","http://dx.doi.org/10.1144/0016-764901-020")</f>
        <v>http://dx.doi.org/10.1144/0016-764901-020</v>
      </c>
      <c r="BG374" t="s">
        <v>74</v>
      </c>
      <c r="BH374" t="s">
        <v>74</v>
      </c>
      <c r="BI374">
        <v>13</v>
      </c>
      <c r="BJ374" t="s">
        <v>608</v>
      </c>
      <c r="BK374" t="s">
        <v>170</v>
      </c>
      <c r="BL374" t="s">
        <v>439</v>
      </c>
      <c r="BM374" t="s">
        <v>5496</v>
      </c>
      <c r="BN374" t="s">
        <v>74</v>
      </c>
      <c r="BO374" t="s">
        <v>74</v>
      </c>
      <c r="BP374" t="s">
        <v>74</v>
      </c>
      <c r="BQ374" t="s">
        <v>74</v>
      </c>
      <c r="BR374" t="s">
        <v>107</v>
      </c>
      <c r="BS374" t="s">
        <v>5508</v>
      </c>
      <c r="BT374" t="str">
        <f>HYPERLINK("https%3A%2F%2Fwww.webofscience.com%2Fwos%2Fwoscc%2Ffull-record%2FWOS:000174257100007","View Full Record in Web of Science")</f>
        <v>View Full Record in Web of Science</v>
      </c>
    </row>
    <row r="375" spans="1:72" x14ac:dyDescent="0.15">
      <c r="A375" t="s">
        <v>72</v>
      </c>
      <c r="B375" t="s">
        <v>5509</v>
      </c>
      <c r="C375" t="s">
        <v>74</v>
      </c>
      <c r="D375" t="s">
        <v>74</v>
      </c>
      <c r="E375" t="s">
        <v>74</v>
      </c>
      <c r="F375" t="s">
        <v>5509</v>
      </c>
      <c r="G375" t="s">
        <v>74</v>
      </c>
      <c r="H375" t="s">
        <v>74</v>
      </c>
      <c r="I375" t="s">
        <v>5510</v>
      </c>
      <c r="J375" t="s">
        <v>4253</v>
      </c>
      <c r="K375" t="s">
        <v>74</v>
      </c>
      <c r="L375" t="s">
        <v>74</v>
      </c>
      <c r="M375" t="s">
        <v>77</v>
      </c>
      <c r="N375" t="s">
        <v>153</v>
      </c>
      <c r="O375" t="s">
        <v>74</v>
      </c>
      <c r="P375" t="s">
        <v>74</v>
      </c>
      <c r="Q375" t="s">
        <v>74</v>
      </c>
      <c r="R375" t="s">
        <v>74</v>
      </c>
      <c r="S375" t="s">
        <v>74</v>
      </c>
      <c r="T375" t="s">
        <v>5511</v>
      </c>
      <c r="U375" t="s">
        <v>5512</v>
      </c>
      <c r="V375" t="s">
        <v>5513</v>
      </c>
      <c r="W375" t="s">
        <v>5514</v>
      </c>
      <c r="X375" t="s">
        <v>5515</v>
      </c>
      <c r="Y375" t="s">
        <v>5516</v>
      </c>
      <c r="Z375" t="s">
        <v>5517</v>
      </c>
      <c r="AA375" t="s">
        <v>5518</v>
      </c>
      <c r="AB375" t="s">
        <v>5519</v>
      </c>
      <c r="AC375" t="s">
        <v>74</v>
      </c>
      <c r="AD375" t="s">
        <v>74</v>
      </c>
      <c r="AE375" t="s">
        <v>74</v>
      </c>
      <c r="AF375" t="s">
        <v>74</v>
      </c>
      <c r="AG375">
        <v>63</v>
      </c>
      <c r="AH375">
        <v>58</v>
      </c>
      <c r="AI375">
        <v>61</v>
      </c>
      <c r="AJ375">
        <v>0</v>
      </c>
      <c r="AK375">
        <v>16</v>
      </c>
      <c r="AL375" t="s">
        <v>394</v>
      </c>
      <c r="AM375" t="s">
        <v>395</v>
      </c>
      <c r="AN375" t="s">
        <v>396</v>
      </c>
      <c r="AO375" t="s">
        <v>4263</v>
      </c>
      <c r="AP375" t="s">
        <v>4264</v>
      </c>
      <c r="AQ375" t="s">
        <v>74</v>
      </c>
      <c r="AR375" t="s">
        <v>4265</v>
      </c>
      <c r="AS375" t="s">
        <v>4266</v>
      </c>
      <c r="AT375" t="s">
        <v>4953</v>
      </c>
      <c r="AU375">
        <v>2002</v>
      </c>
      <c r="AV375">
        <v>256</v>
      </c>
      <c r="AW375" t="s">
        <v>74</v>
      </c>
      <c r="AX375">
        <v>3</v>
      </c>
      <c r="AY375" t="s">
        <v>74</v>
      </c>
      <c r="AZ375" t="s">
        <v>74</v>
      </c>
      <c r="BA375" t="s">
        <v>74</v>
      </c>
      <c r="BB375">
        <v>351</v>
      </c>
      <c r="BC375">
        <v>359</v>
      </c>
      <c r="BD375" t="s">
        <v>74</v>
      </c>
      <c r="BE375" t="s">
        <v>5520</v>
      </c>
      <c r="BF375" t="str">
        <f>HYPERLINK("http://dx.doi.org/10.1017/S0952836902000389","http://dx.doi.org/10.1017/S0952836902000389")</f>
        <v>http://dx.doi.org/10.1017/S0952836902000389</v>
      </c>
      <c r="BG375" t="s">
        <v>74</v>
      </c>
      <c r="BH375" t="s">
        <v>74</v>
      </c>
      <c r="BI375">
        <v>9</v>
      </c>
      <c r="BJ375" t="s">
        <v>1001</v>
      </c>
      <c r="BK375" t="s">
        <v>170</v>
      </c>
      <c r="BL375" t="s">
        <v>1001</v>
      </c>
      <c r="BM375" t="s">
        <v>5521</v>
      </c>
      <c r="BN375" t="s">
        <v>74</v>
      </c>
      <c r="BO375" t="s">
        <v>74</v>
      </c>
      <c r="BP375" t="s">
        <v>74</v>
      </c>
      <c r="BQ375" t="s">
        <v>74</v>
      </c>
      <c r="BR375" t="s">
        <v>107</v>
      </c>
      <c r="BS375" t="s">
        <v>5522</v>
      </c>
      <c r="BT375" t="str">
        <f>HYPERLINK("https%3A%2F%2Fwww.webofscience.com%2Fwos%2Fwoscc%2Ffull-record%2FWOS:000174876000007","View Full Record in Web of Science")</f>
        <v>View Full Record in Web of Science</v>
      </c>
    </row>
    <row r="376" spans="1:72" x14ac:dyDescent="0.15">
      <c r="A376" t="s">
        <v>72</v>
      </c>
      <c r="B376" t="s">
        <v>5523</v>
      </c>
      <c r="C376" t="s">
        <v>74</v>
      </c>
      <c r="D376" t="s">
        <v>74</v>
      </c>
      <c r="E376" t="s">
        <v>74</v>
      </c>
      <c r="F376" t="s">
        <v>5523</v>
      </c>
      <c r="G376" t="s">
        <v>74</v>
      </c>
      <c r="H376" t="s">
        <v>74</v>
      </c>
      <c r="I376" t="s">
        <v>5524</v>
      </c>
      <c r="J376" t="s">
        <v>4290</v>
      </c>
      <c r="K376" t="s">
        <v>74</v>
      </c>
      <c r="L376" t="s">
        <v>74</v>
      </c>
      <c r="M376" t="s">
        <v>77</v>
      </c>
      <c r="N376" t="s">
        <v>153</v>
      </c>
      <c r="O376" t="s">
        <v>74</v>
      </c>
      <c r="P376" t="s">
        <v>74</v>
      </c>
      <c r="Q376" t="s">
        <v>74</v>
      </c>
      <c r="R376" t="s">
        <v>74</v>
      </c>
      <c r="S376" t="s">
        <v>74</v>
      </c>
      <c r="T376" t="s">
        <v>74</v>
      </c>
      <c r="U376" t="s">
        <v>5525</v>
      </c>
      <c r="V376" t="s">
        <v>5526</v>
      </c>
      <c r="W376" t="s">
        <v>5527</v>
      </c>
      <c r="X376" t="s">
        <v>5528</v>
      </c>
      <c r="Y376" t="s">
        <v>5529</v>
      </c>
      <c r="Z376" t="s">
        <v>5530</v>
      </c>
      <c r="AA376" t="s">
        <v>5531</v>
      </c>
      <c r="AB376" t="s">
        <v>5532</v>
      </c>
      <c r="AC376" t="s">
        <v>74</v>
      </c>
      <c r="AD376" t="s">
        <v>74</v>
      </c>
      <c r="AE376" t="s">
        <v>74</v>
      </c>
      <c r="AF376" t="s">
        <v>74</v>
      </c>
      <c r="AG376">
        <v>47</v>
      </c>
      <c r="AH376">
        <v>38</v>
      </c>
      <c r="AI376">
        <v>40</v>
      </c>
      <c r="AJ376">
        <v>1</v>
      </c>
      <c r="AK376">
        <v>16</v>
      </c>
      <c r="AL376" t="s">
        <v>2732</v>
      </c>
      <c r="AM376" t="s">
        <v>2733</v>
      </c>
      <c r="AN376" t="s">
        <v>2734</v>
      </c>
      <c r="AO376" t="s">
        <v>4298</v>
      </c>
      <c r="AP376" t="s">
        <v>4299</v>
      </c>
      <c r="AQ376" t="s">
        <v>74</v>
      </c>
      <c r="AR376" t="s">
        <v>4300</v>
      </c>
      <c r="AS376" t="s">
        <v>4301</v>
      </c>
      <c r="AT376" t="s">
        <v>4953</v>
      </c>
      <c r="AU376">
        <v>2002</v>
      </c>
      <c r="AV376">
        <v>140</v>
      </c>
      <c r="AW376">
        <v>3</v>
      </c>
      <c r="AX376" t="s">
        <v>74</v>
      </c>
      <c r="AY376" t="s">
        <v>74</v>
      </c>
      <c r="AZ376" t="s">
        <v>74</v>
      </c>
      <c r="BA376" t="s">
        <v>74</v>
      </c>
      <c r="BB376">
        <v>647</v>
      </c>
      <c r="BC376">
        <v>652</v>
      </c>
      <c r="BD376" t="s">
        <v>74</v>
      </c>
      <c r="BE376" t="s">
        <v>5533</v>
      </c>
      <c r="BF376" t="str">
        <f>HYPERLINK("http://dx.doi.org/10.1007/s00227-001-0719-z","http://dx.doi.org/10.1007/s00227-001-0719-z")</f>
        <v>http://dx.doi.org/10.1007/s00227-001-0719-z</v>
      </c>
      <c r="BG376" t="s">
        <v>74</v>
      </c>
      <c r="BH376" t="s">
        <v>74</v>
      </c>
      <c r="BI376">
        <v>6</v>
      </c>
      <c r="BJ376" t="s">
        <v>1919</v>
      </c>
      <c r="BK376" t="s">
        <v>170</v>
      </c>
      <c r="BL376" t="s">
        <v>1919</v>
      </c>
      <c r="BM376" t="s">
        <v>5534</v>
      </c>
      <c r="BN376" t="s">
        <v>74</v>
      </c>
      <c r="BO376" t="s">
        <v>74</v>
      </c>
      <c r="BP376" t="s">
        <v>74</v>
      </c>
      <c r="BQ376" t="s">
        <v>74</v>
      </c>
      <c r="BR376" t="s">
        <v>107</v>
      </c>
      <c r="BS376" t="s">
        <v>5535</v>
      </c>
      <c r="BT376" t="str">
        <f>HYPERLINK("https%3A%2F%2Fwww.webofscience.com%2Fwos%2Fwoscc%2Ffull-record%2FWOS:000174973700022","View Full Record in Web of Science")</f>
        <v>View Full Record in Web of Science</v>
      </c>
    </row>
    <row r="377" spans="1:72" x14ac:dyDescent="0.15">
      <c r="A377" t="s">
        <v>72</v>
      </c>
      <c r="B377" t="s">
        <v>5536</v>
      </c>
      <c r="C377" t="s">
        <v>74</v>
      </c>
      <c r="D377" t="s">
        <v>74</v>
      </c>
      <c r="E377" t="s">
        <v>74</v>
      </c>
      <c r="F377" t="s">
        <v>5536</v>
      </c>
      <c r="G377" t="s">
        <v>74</v>
      </c>
      <c r="H377" t="s">
        <v>74</v>
      </c>
      <c r="I377" t="s">
        <v>5537</v>
      </c>
      <c r="J377" t="s">
        <v>1711</v>
      </c>
      <c r="K377" t="s">
        <v>74</v>
      </c>
      <c r="L377" t="s">
        <v>74</v>
      </c>
      <c r="M377" t="s">
        <v>77</v>
      </c>
      <c r="N377" t="s">
        <v>153</v>
      </c>
      <c r="O377" t="s">
        <v>74</v>
      </c>
      <c r="P377" t="s">
        <v>74</v>
      </c>
      <c r="Q377" t="s">
        <v>74</v>
      </c>
      <c r="R377" t="s">
        <v>74</v>
      </c>
      <c r="S377" t="s">
        <v>74</v>
      </c>
      <c r="T377" t="s">
        <v>5538</v>
      </c>
      <c r="U377" t="s">
        <v>5539</v>
      </c>
      <c r="V377" t="s">
        <v>5540</v>
      </c>
      <c r="W377" t="s">
        <v>5541</v>
      </c>
      <c r="X377" t="s">
        <v>5542</v>
      </c>
      <c r="Y377" t="s">
        <v>5543</v>
      </c>
      <c r="Z377" t="s">
        <v>74</v>
      </c>
      <c r="AA377" t="s">
        <v>5544</v>
      </c>
      <c r="AB377" t="s">
        <v>5545</v>
      </c>
      <c r="AC377" t="s">
        <v>74</v>
      </c>
      <c r="AD377" t="s">
        <v>74</v>
      </c>
      <c r="AE377" t="s">
        <v>74</v>
      </c>
      <c r="AF377" t="s">
        <v>74</v>
      </c>
      <c r="AG377">
        <v>82</v>
      </c>
      <c r="AH377">
        <v>48</v>
      </c>
      <c r="AI377">
        <v>55</v>
      </c>
      <c r="AJ377">
        <v>0</v>
      </c>
      <c r="AK377">
        <v>16</v>
      </c>
      <c r="AL377" t="s">
        <v>894</v>
      </c>
      <c r="AM377" t="s">
        <v>895</v>
      </c>
      <c r="AN377" t="s">
        <v>896</v>
      </c>
      <c r="AO377" t="s">
        <v>1721</v>
      </c>
      <c r="AP377" t="s">
        <v>74</v>
      </c>
      <c r="AQ377" t="s">
        <v>74</v>
      </c>
      <c r="AR377" t="s">
        <v>1723</v>
      </c>
      <c r="AS377" t="s">
        <v>1724</v>
      </c>
      <c r="AT377" t="s">
        <v>4953</v>
      </c>
      <c r="AU377">
        <v>2002</v>
      </c>
      <c r="AV377">
        <v>53</v>
      </c>
      <c r="AW377">
        <v>2</v>
      </c>
      <c r="AX377" t="s">
        <v>74</v>
      </c>
      <c r="AY377" t="s">
        <v>74</v>
      </c>
      <c r="AZ377" t="s">
        <v>74</v>
      </c>
      <c r="BA377" t="s">
        <v>74</v>
      </c>
      <c r="BB377">
        <v>175</v>
      </c>
      <c r="BC377">
        <v>197</v>
      </c>
      <c r="BD377" t="s">
        <v>74</v>
      </c>
      <c r="BE377" t="s">
        <v>5546</v>
      </c>
      <c r="BF377" t="str">
        <f>HYPERLINK("http://dx.doi.org/10.1016/S0141-1136(01)00119-2","http://dx.doi.org/10.1016/S0141-1136(01)00119-2")</f>
        <v>http://dx.doi.org/10.1016/S0141-1136(01)00119-2</v>
      </c>
      <c r="BG377" t="s">
        <v>74</v>
      </c>
      <c r="BH377" t="s">
        <v>74</v>
      </c>
      <c r="BI377">
        <v>23</v>
      </c>
      <c r="BJ377" t="s">
        <v>1727</v>
      </c>
      <c r="BK377" t="s">
        <v>170</v>
      </c>
      <c r="BL377" t="s">
        <v>1728</v>
      </c>
      <c r="BM377" t="s">
        <v>5547</v>
      </c>
      <c r="BN377">
        <v>11824827</v>
      </c>
      <c r="BO377" t="s">
        <v>74</v>
      </c>
      <c r="BP377" t="s">
        <v>74</v>
      </c>
      <c r="BQ377" t="s">
        <v>74</v>
      </c>
      <c r="BR377" t="s">
        <v>107</v>
      </c>
      <c r="BS377" t="s">
        <v>5548</v>
      </c>
      <c r="BT377" t="str">
        <f>HYPERLINK("https%3A%2F%2Fwww.webofscience.com%2Fwos%2Fwoscc%2Ffull-record%2FWOS:000173099700004","View Full Record in Web of Science")</f>
        <v>View Full Record in Web of Science</v>
      </c>
    </row>
    <row r="378" spans="1:72" x14ac:dyDescent="0.15">
      <c r="A378" t="s">
        <v>72</v>
      </c>
      <c r="B378" t="s">
        <v>5549</v>
      </c>
      <c r="C378" t="s">
        <v>74</v>
      </c>
      <c r="D378" t="s">
        <v>74</v>
      </c>
      <c r="E378" t="s">
        <v>74</v>
      </c>
      <c r="F378" t="s">
        <v>5549</v>
      </c>
      <c r="G378" t="s">
        <v>74</v>
      </c>
      <c r="H378" t="s">
        <v>74</v>
      </c>
      <c r="I378" t="s">
        <v>5550</v>
      </c>
      <c r="J378" t="s">
        <v>2938</v>
      </c>
      <c r="K378" t="s">
        <v>74</v>
      </c>
      <c r="L378" t="s">
        <v>74</v>
      </c>
      <c r="M378" t="s">
        <v>77</v>
      </c>
      <c r="N378" t="s">
        <v>153</v>
      </c>
      <c r="O378" t="s">
        <v>74</v>
      </c>
      <c r="P378" t="s">
        <v>74</v>
      </c>
      <c r="Q378" t="s">
        <v>74</v>
      </c>
      <c r="R378" t="s">
        <v>74</v>
      </c>
      <c r="S378" t="s">
        <v>74</v>
      </c>
      <c r="T378" t="s">
        <v>74</v>
      </c>
      <c r="U378" t="s">
        <v>5551</v>
      </c>
      <c r="V378" t="s">
        <v>5552</v>
      </c>
      <c r="W378" t="s">
        <v>5553</v>
      </c>
      <c r="X378" t="s">
        <v>5282</v>
      </c>
      <c r="Y378" t="s">
        <v>5554</v>
      </c>
      <c r="Z378" t="s">
        <v>74</v>
      </c>
      <c r="AA378" t="s">
        <v>74</v>
      </c>
      <c r="AB378" t="s">
        <v>74</v>
      </c>
      <c r="AC378" t="s">
        <v>74</v>
      </c>
      <c r="AD378" t="s">
        <v>74</v>
      </c>
      <c r="AE378" t="s">
        <v>74</v>
      </c>
      <c r="AF378" t="s">
        <v>74</v>
      </c>
      <c r="AG378">
        <v>37</v>
      </c>
      <c r="AH378">
        <v>3</v>
      </c>
      <c r="AI378">
        <v>3</v>
      </c>
      <c r="AJ378">
        <v>0</v>
      </c>
      <c r="AK378">
        <v>0</v>
      </c>
      <c r="AL378" t="s">
        <v>1197</v>
      </c>
      <c r="AM378" t="s">
        <v>195</v>
      </c>
      <c r="AN378" t="s">
        <v>1198</v>
      </c>
      <c r="AO378" t="s">
        <v>2944</v>
      </c>
      <c r="AP378" t="s">
        <v>2956</v>
      </c>
      <c r="AQ378" t="s">
        <v>74</v>
      </c>
      <c r="AR378" t="s">
        <v>2945</v>
      </c>
      <c r="AS378" t="s">
        <v>2946</v>
      </c>
      <c r="AT378" t="s">
        <v>5287</v>
      </c>
      <c r="AU378">
        <v>2002</v>
      </c>
      <c r="AV378">
        <v>42</v>
      </c>
      <c r="AW378">
        <v>2</v>
      </c>
      <c r="AX378" t="s">
        <v>74</v>
      </c>
      <c r="AY378" t="s">
        <v>74</v>
      </c>
      <c r="AZ378" t="s">
        <v>74</v>
      </c>
      <c r="BA378" t="s">
        <v>74</v>
      </c>
      <c r="BB378">
        <v>162</v>
      </c>
      <c r="BC378">
        <v>173</v>
      </c>
      <c r="BD378" t="s">
        <v>74</v>
      </c>
      <c r="BE378" t="s">
        <v>74</v>
      </c>
      <c r="BF378" t="s">
        <v>74</v>
      </c>
      <c r="BG378" t="s">
        <v>74</v>
      </c>
      <c r="BH378" t="s">
        <v>74</v>
      </c>
      <c r="BI378">
        <v>12</v>
      </c>
      <c r="BJ378" t="s">
        <v>1155</v>
      </c>
      <c r="BK378" t="s">
        <v>170</v>
      </c>
      <c r="BL378" t="s">
        <v>1155</v>
      </c>
      <c r="BM378" t="s">
        <v>5555</v>
      </c>
      <c r="BN378" t="s">
        <v>74</v>
      </c>
      <c r="BO378" t="s">
        <v>74</v>
      </c>
      <c r="BP378" t="s">
        <v>74</v>
      </c>
      <c r="BQ378" t="s">
        <v>74</v>
      </c>
      <c r="BR378" t="s">
        <v>107</v>
      </c>
      <c r="BS378" t="s">
        <v>5556</v>
      </c>
      <c r="BT378" t="str">
        <f>HYPERLINK("https%3A%2F%2Fwww.webofscience.com%2Fwos%2Fwoscc%2Ffull-record%2FWOS:000175528600002","View Full Record in Web of Science")</f>
        <v>View Full Record in Web of Science</v>
      </c>
    </row>
    <row r="379" spans="1:72" x14ac:dyDescent="0.15">
      <c r="A379" t="s">
        <v>72</v>
      </c>
      <c r="B379" t="s">
        <v>5557</v>
      </c>
      <c r="C379" t="s">
        <v>74</v>
      </c>
      <c r="D379" t="s">
        <v>74</v>
      </c>
      <c r="E379" t="s">
        <v>74</v>
      </c>
      <c r="F379" t="s">
        <v>5557</v>
      </c>
      <c r="G379" t="s">
        <v>74</v>
      </c>
      <c r="H379" t="s">
        <v>74</v>
      </c>
      <c r="I379" t="s">
        <v>5558</v>
      </c>
      <c r="J379" t="s">
        <v>5559</v>
      </c>
      <c r="K379" t="s">
        <v>74</v>
      </c>
      <c r="L379" t="s">
        <v>74</v>
      </c>
      <c r="M379" t="s">
        <v>77</v>
      </c>
      <c r="N379" t="s">
        <v>947</v>
      </c>
      <c r="O379" t="s">
        <v>74</v>
      </c>
      <c r="P379" t="s">
        <v>74</v>
      </c>
      <c r="Q379" t="s">
        <v>74</v>
      </c>
      <c r="R379" t="s">
        <v>74</v>
      </c>
      <c r="S379" t="s">
        <v>74</v>
      </c>
      <c r="T379" t="s">
        <v>74</v>
      </c>
      <c r="U379" t="s">
        <v>5560</v>
      </c>
      <c r="V379" t="s">
        <v>5561</v>
      </c>
      <c r="W379" t="s">
        <v>2466</v>
      </c>
      <c r="X379" t="s">
        <v>852</v>
      </c>
      <c r="Y379" t="s">
        <v>300</v>
      </c>
      <c r="Z379" t="s">
        <v>5562</v>
      </c>
      <c r="AA379" t="s">
        <v>74</v>
      </c>
      <c r="AB379" t="s">
        <v>74</v>
      </c>
      <c r="AC379" t="s">
        <v>74</v>
      </c>
      <c r="AD379" t="s">
        <v>74</v>
      </c>
      <c r="AE379" t="s">
        <v>74</v>
      </c>
      <c r="AF379" t="s">
        <v>74</v>
      </c>
      <c r="AG379">
        <v>167</v>
      </c>
      <c r="AH379">
        <v>76</v>
      </c>
      <c r="AI379">
        <v>87</v>
      </c>
      <c r="AJ379">
        <v>1</v>
      </c>
      <c r="AK379">
        <v>18</v>
      </c>
      <c r="AL379" t="s">
        <v>753</v>
      </c>
      <c r="AM379" t="s">
        <v>195</v>
      </c>
      <c r="AN379" t="s">
        <v>803</v>
      </c>
      <c r="AO379" t="s">
        <v>5563</v>
      </c>
      <c r="AP379" t="s">
        <v>5564</v>
      </c>
      <c r="AQ379" t="s">
        <v>74</v>
      </c>
      <c r="AR379" t="s">
        <v>5559</v>
      </c>
      <c r="AS379" t="s">
        <v>5565</v>
      </c>
      <c r="AT379" t="s">
        <v>5350</v>
      </c>
      <c r="AU379">
        <v>2002</v>
      </c>
      <c r="AV379">
        <v>28</v>
      </c>
      <c r="AW379">
        <v>2</v>
      </c>
      <c r="AX379" t="s">
        <v>74</v>
      </c>
      <c r="AY379" t="s">
        <v>74</v>
      </c>
      <c r="AZ379" t="s">
        <v>74</v>
      </c>
      <c r="BA379" t="s">
        <v>74</v>
      </c>
      <c r="BB379">
        <v>184</v>
      </c>
      <c r="BC379">
        <v>207</v>
      </c>
      <c r="BD379" t="s">
        <v>74</v>
      </c>
      <c r="BE379" t="s">
        <v>74</v>
      </c>
      <c r="BF379" t="s">
        <v>74</v>
      </c>
      <c r="BG379" t="s">
        <v>74</v>
      </c>
      <c r="BH379" t="s">
        <v>74</v>
      </c>
      <c r="BI379">
        <v>24</v>
      </c>
      <c r="BJ379" t="s">
        <v>5566</v>
      </c>
      <c r="BK379" t="s">
        <v>170</v>
      </c>
      <c r="BL379" t="s">
        <v>5567</v>
      </c>
      <c r="BM379" t="s">
        <v>5568</v>
      </c>
      <c r="BN379" t="s">
        <v>74</v>
      </c>
      <c r="BO379" t="s">
        <v>74</v>
      </c>
      <c r="BP379" t="s">
        <v>74</v>
      </c>
      <c r="BQ379" t="s">
        <v>74</v>
      </c>
      <c r="BR379" t="s">
        <v>107</v>
      </c>
      <c r="BS379" t="s">
        <v>5569</v>
      </c>
      <c r="BT379" t="str">
        <f>HYPERLINK("https%3A%2F%2Fwww.webofscience.com%2Fwos%2Fwoscc%2Ffull-record%2FWOS:000176232900002","View Full Record in Web of Science")</f>
        <v>View Full Record in Web of Science</v>
      </c>
    </row>
    <row r="380" spans="1:72" x14ac:dyDescent="0.15">
      <c r="A380" t="s">
        <v>72</v>
      </c>
      <c r="B380" t="s">
        <v>5570</v>
      </c>
      <c r="C380" t="s">
        <v>74</v>
      </c>
      <c r="D380" t="s">
        <v>74</v>
      </c>
      <c r="E380" t="s">
        <v>74</v>
      </c>
      <c r="F380" t="s">
        <v>5570</v>
      </c>
      <c r="G380" t="s">
        <v>74</v>
      </c>
      <c r="H380" t="s">
        <v>74</v>
      </c>
      <c r="I380" t="s">
        <v>5571</v>
      </c>
      <c r="J380" t="s">
        <v>152</v>
      </c>
      <c r="K380" t="s">
        <v>74</v>
      </c>
      <c r="L380" t="s">
        <v>74</v>
      </c>
      <c r="M380" t="s">
        <v>77</v>
      </c>
      <c r="N380" t="s">
        <v>153</v>
      </c>
      <c r="O380" t="s">
        <v>74</v>
      </c>
      <c r="P380" t="s">
        <v>74</v>
      </c>
      <c r="Q380" t="s">
        <v>74</v>
      </c>
      <c r="R380" t="s">
        <v>74</v>
      </c>
      <c r="S380" t="s">
        <v>74</v>
      </c>
      <c r="T380" t="s">
        <v>5572</v>
      </c>
      <c r="U380" t="s">
        <v>5573</v>
      </c>
      <c r="V380" t="s">
        <v>5574</v>
      </c>
      <c r="W380" t="s">
        <v>5575</v>
      </c>
      <c r="X380" t="s">
        <v>5576</v>
      </c>
      <c r="Y380" t="s">
        <v>5577</v>
      </c>
      <c r="Z380" t="s">
        <v>5578</v>
      </c>
      <c r="AA380" t="s">
        <v>5579</v>
      </c>
      <c r="AB380" t="s">
        <v>5580</v>
      </c>
      <c r="AC380" t="s">
        <v>74</v>
      </c>
      <c r="AD380" t="s">
        <v>74</v>
      </c>
      <c r="AE380" t="s">
        <v>74</v>
      </c>
      <c r="AF380" t="s">
        <v>74</v>
      </c>
      <c r="AG380">
        <v>72</v>
      </c>
      <c r="AH380">
        <v>21</v>
      </c>
      <c r="AI380">
        <v>24</v>
      </c>
      <c r="AJ380">
        <v>3</v>
      </c>
      <c r="AK380">
        <v>10</v>
      </c>
      <c r="AL380" t="s">
        <v>161</v>
      </c>
      <c r="AM380" t="s">
        <v>162</v>
      </c>
      <c r="AN380" t="s">
        <v>163</v>
      </c>
      <c r="AO380" t="s">
        <v>164</v>
      </c>
      <c r="AP380" t="s">
        <v>165</v>
      </c>
      <c r="AQ380" t="s">
        <v>74</v>
      </c>
      <c r="AR380" t="s">
        <v>152</v>
      </c>
      <c r="AS380" t="s">
        <v>166</v>
      </c>
      <c r="AT380" t="s">
        <v>5581</v>
      </c>
      <c r="AU380">
        <v>2002</v>
      </c>
      <c r="AV380">
        <v>17</v>
      </c>
      <c r="AW380">
        <v>2</v>
      </c>
      <c r="AX380" t="s">
        <v>74</v>
      </c>
      <c r="AY380" t="s">
        <v>74</v>
      </c>
      <c r="AZ380" t="s">
        <v>74</v>
      </c>
      <c r="BA380" t="s">
        <v>74</v>
      </c>
      <c r="BB380" t="s">
        <v>74</v>
      </c>
      <c r="BC380" t="s">
        <v>74</v>
      </c>
      <c r="BD380">
        <v>1011</v>
      </c>
      <c r="BE380" t="s">
        <v>5582</v>
      </c>
      <c r="BF380" t="str">
        <f>HYPERLINK("http://dx.doi.org/10.1029/2000PA000552","http://dx.doi.org/10.1029/2000PA000552")</f>
        <v>http://dx.doi.org/10.1029/2000PA000552</v>
      </c>
      <c r="BG380" t="s">
        <v>74</v>
      </c>
      <c r="BH380" t="s">
        <v>74</v>
      </c>
      <c r="BI380">
        <v>20</v>
      </c>
      <c r="BJ380" t="s">
        <v>169</v>
      </c>
      <c r="BK380" t="s">
        <v>170</v>
      </c>
      <c r="BL380" t="s">
        <v>171</v>
      </c>
      <c r="BM380" t="s">
        <v>5583</v>
      </c>
      <c r="BN380" t="s">
        <v>74</v>
      </c>
      <c r="BO380" t="s">
        <v>5584</v>
      </c>
      <c r="BP380" t="s">
        <v>74</v>
      </c>
      <c r="BQ380" t="s">
        <v>74</v>
      </c>
      <c r="BR380" t="s">
        <v>107</v>
      </c>
      <c r="BS380" t="s">
        <v>5585</v>
      </c>
      <c r="BT380" t="str">
        <f>HYPERLINK("https%3A%2F%2Fwww.webofscience.com%2Fwos%2Fwoscc%2Ffull-record%2FWOS:000178940200017","View Full Record in Web of Science")</f>
        <v>View Full Record in Web of Science</v>
      </c>
    </row>
    <row r="381" spans="1:72" x14ac:dyDescent="0.15">
      <c r="A381" t="s">
        <v>72</v>
      </c>
      <c r="B381" t="s">
        <v>5586</v>
      </c>
      <c r="C381" t="s">
        <v>74</v>
      </c>
      <c r="D381" t="s">
        <v>74</v>
      </c>
      <c r="E381" t="s">
        <v>74</v>
      </c>
      <c r="F381" t="s">
        <v>5586</v>
      </c>
      <c r="G381" t="s">
        <v>74</v>
      </c>
      <c r="H381" t="s">
        <v>74</v>
      </c>
      <c r="I381" t="s">
        <v>5587</v>
      </c>
      <c r="J381" t="s">
        <v>152</v>
      </c>
      <c r="K381" t="s">
        <v>74</v>
      </c>
      <c r="L381" t="s">
        <v>74</v>
      </c>
      <c r="M381" t="s">
        <v>77</v>
      </c>
      <c r="N381" t="s">
        <v>153</v>
      </c>
      <c r="O381" t="s">
        <v>74</v>
      </c>
      <c r="P381" t="s">
        <v>74</v>
      </c>
      <c r="Q381" t="s">
        <v>74</v>
      </c>
      <c r="R381" t="s">
        <v>74</v>
      </c>
      <c r="S381" t="s">
        <v>74</v>
      </c>
      <c r="T381" t="s">
        <v>5588</v>
      </c>
      <c r="U381" t="s">
        <v>5589</v>
      </c>
      <c r="V381" t="s">
        <v>5590</v>
      </c>
      <c r="W381" t="s">
        <v>5591</v>
      </c>
      <c r="X381" t="s">
        <v>3012</v>
      </c>
      <c r="Y381" t="s">
        <v>5592</v>
      </c>
      <c r="Z381" t="s">
        <v>5593</v>
      </c>
      <c r="AA381" t="s">
        <v>5594</v>
      </c>
      <c r="AB381" t="s">
        <v>5595</v>
      </c>
      <c r="AC381" t="s">
        <v>74</v>
      </c>
      <c r="AD381" t="s">
        <v>74</v>
      </c>
      <c r="AE381" t="s">
        <v>74</v>
      </c>
      <c r="AF381" t="s">
        <v>74</v>
      </c>
      <c r="AG381">
        <v>47</v>
      </c>
      <c r="AH381">
        <v>126</v>
      </c>
      <c r="AI381">
        <v>136</v>
      </c>
      <c r="AJ381">
        <v>0</v>
      </c>
      <c r="AK381">
        <v>15</v>
      </c>
      <c r="AL381" t="s">
        <v>161</v>
      </c>
      <c r="AM381" t="s">
        <v>162</v>
      </c>
      <c r="AN381" t="s">
        <v>163</v>
      </c>
      <c r="AO381" t="s">
        <v>164</v>
      </c>
      <c r="AP381" t="s">
        <v>165</v>
      </c>
      <c r="AQ381" t="s">
        <v>74</v>
      </c>
      <c r="AR381" t="s">
        <v>152</v>
      </c>
      <c r="AS381" t="s">
        <v>166</v>
      </c>
      <c r="AT381" t="s">
        <v>5581</v>
      </c>
      <c r="AU381">
        <v>2002</v>
      </c>
      <c r="AV381">
        <v>17</v>
      </c>
      <c r="AW381">
        <v>2</v>
      </c>
      <c r="AX381" t="s">
        <v>74</v>
      </c>
      <c r="AY381" t="s">
        <v>74</v>
      </c>
      <c r="AZ381" t="s">
        <v>74</v>
      </c>
      <c r="BA381" t="s">
        <v>74</v>
      </c>
      <c r="BB381" t="s">
        <v>74</v>
      </c>
      <c r="BC381" t="s">
        <v>74</v>
      </c>
      <c r="BD381">
        <v>1028</v>
      </c>
      <c r="BE381" t="s">
        <v>5596</v>
      </c>
      <c r="BF381" t="str">
        <f>HYPERLINK("http://dx.doi.org/10.1029/2001PA000727","http://dx.doi.org/10.1029/2001PA000727")</f>
        <v>http://dx.doi.org/10.1029/2001PA000727</v>
      </c>
      <c r="BG381" t="s">
        <v>74</v>
      </c>
      <c r="BH381" t="s">
        <v>74</v>
      </c>
      <c r="BI381">
        <v>10</v>
      </c>
      <c r="BJ381" t="s">
        <v>169</v>
      </c>
      <c r="BK381" t="s">
        <v>170</v>
      </c>
      <c r="BL381" t="s">
        <v>171</v>
      </c>
      <c r="BM381" t="s">
        <v>5583</v>
      </c>
      <c r="BN381" t="s">
        <v>74</v>
      </c>
      <c r="BO381" t="s">
        <v>5597</v>
      </c>
      <c r="BP381" t="s">
        <v>74</v>
      </c>
      <c r="BQ381" t="s">
        <v>74</v>
      </c>
      <c r="BR381" t="s">
        <v>107</v>
      </c>
      <c r="BS381" t="s">
        <v>5598</v>
      </c>
      <c r="BT381" t="str">
        <f>HYPERLINK("https%3A%2F%2Fwww.webofscience.com%2Fwos%2Fwoscc%2Ffull-record%2FWOS:000178940200001","View Full Record in Web of Science")</f>
        <v>View Full Record in Web of Science</v>
      </c>
    </row>
    <row r="382" spans="1:72" x14ac:dyDescent="0.15">
      <c r="A382" t="s">
        <v>72</v>
      </c>
      <c r="B382" t="s">
        <v>5599</v>
      </c>
      <c r="C382" t="s">
        <v>74</v>
      </c>
      <c r="D382" t="s">
        <v>74</v>
      </c>
      <c r="E382" t="s">
        <v>74</v>
      </c>
      <c r="F382" t="s">
        <v>5599</v>
      </c>
      <c r="G382" t="s">
        <v>74</v>
      </c>
      <c r="H382" t="s">
        <v>74</v>
      </c>
      <c r="I382" t="s">
        <v>5600</v>
      </c>
      <c r="J382" t="s">
        <v>152</v>
      </c>
      <c r="K382" t="s">
        <v>74</v>
      </c>
      <c r="L382" t="s">
        <v>74</v>
      </c>
      <c r="M382" t="s">
        <v>77</v>
      </c>
      <c r="N382" t="s">
        <v>153</v>
      </c>
      <c r="O382" t="s">
        <v>74</v>
      </c>
      <c r="P382" t="s">
        <v>74</v>
      </c>
      <c r="Q382" t="s">
        <v>74</v>
      </c>
      <c r="R382" t="s">
        <v>74</v>
      </c>
      <c r="S382" t="s">
        <v>74</v>
      </c>
      <c r="T382" t="s">
        <v>5601</v>
      </c>
      <c r="U382" t="s">
        <v>5602</v>
      </c>
      <c r="V382" t="s">
        <v>5603</v>
      </c>
      <c r="W382" t="s">
        <v>5604</v>
      </c>
      <c r="X382" t="s">
        <v>5605</v>
      </c>
      <c r="Y382" t="s">
        <v>5606</v>
      </c>
      <c r="Z382" t="s">
        <v>74</v>
      </c>
      <c r="AA382" t="s">
        <v>74</v>
      </c>
      <c r="AB382" t="s">
        <v>5607</v>
      </c>
      <c r="AC382" t="s">
        <v>74</v>
      </c>
      <c r="AD382" t="s">
        <v>74</v>
      </c>
      <c r="AE382" t="s">
        <v>74</v>
      </c>
      <c r="AF382" t="s">
        <v>74</v>
      </c>
      <c r="AG382">
        <v>58</v>
      </c>
      <c r="AH382">
        <v>81</v>
      </c>
      <c r="AI382">
        <v>96</v>
      </c>
      <c r="AJ382">
        <v>0</v>
      </c>
      <c r="AK382">
        <v>9</v>
      </c>
      <c r="AL382" t="s">
        <v>161</v>
      </c>
      <c r="AM382" t="s">
        <v>162</v>
      </c>
      <c r="AN382" t="s">
        <v>163</v>
      </c>
      <c r="AO382" t="s">
        <v>164</v>
      </c>
      <c r="AP382" t="s">
        <v>74</v>
      </c>
      <c r="AQ382" t="s">
        <v>74</v>
      </c>
      <c r="AR382" t="s">
        <v>152</v>
      </c>
      <c r="AS382" t="s">
        <v>166</v>
      </c>
      <c r="AT382" t="s">
        <v>5581</v>
      </c>
      <c r="AU382">
        <v>2002</v>
      </c>
      <c r="AV382">
        <v>17</v>
      </c>
      <c r="AW382">
        <v>2</v>
      </c>
      <c r="AX382" t="s">
        <v>74</v>
      </c>
      <c r="AY382" t="s">
        <v>74</v>
      </c>
      <c r="AZ382" t="s">
        <v>74</v>
      </c>
      <c r="BA382" t="s">
        <v>74</v>
      </c>
      <c r="BB382" t="s">
        <v>74</v>
      </c>
      <c r="BC382" t="s">
        <v>74</v>
      </c>
      <c r="BD382">
        <v>1027</v>
      </c>
      <c r="BE382" t="s">
        <v>5608</v>
      </c>
      <c r="BF382" t="str">
        <f>HYPERLINK("http://dx.doi.org/10.1029/2001PA000624","http://dx.doi.org/10.1029/2001PA000624")</f>
        <v>http://dx.doi.org/10.1029/2001PA000624</v>
      </c>
      <c r="BG382" t="s">
        <v>74</v>
      </c>
      <c r="BH382" t="s">
        <v>74</v>
      </c>
      <c r="BI382">
        <v>17</v>
      </c>
      <c r="BJ382" t="s">
        <v>169</v>
      </c>
      <c r="BK382" t="s">
        <v>170</v>
      </c>
      <c r="BL382" t="s">
        <v>171</v>
      </c>
      <c r="BM382" t="s">
        <v>5583</v>
      </c>
      <c r="BN382" t="s">
        <v>74</v>
      </c>
      <c r="BO382" t="s">
        <v>173</v>
      </c>
      <c r="BP382" t="s">
        <v>74</v>
      </c>
      <c r="BQ382" t="s">
        <v>74</v>
      </c>
      <c r="BR382" t="s">
        <v>107</v>
      </c>
      <c r="BS382" t="s">
        <v>5609</v>
      </c>
      <c r="BT382" t="str">
        <f>HYPERLINK("https%3A%2F%2Fwww.webofscience.com%2Fwos%2Fwoscc%2Ffull-record%2FWOS:000178940200002","View Full Record in Web of Science")</f>
        <v>View Full Record in Web of Science</v>
      </c>
    </row>
    <row r="383" spans="1:72" x14ac:dyDescent="0.15">
      <c r="A383" t="s">
        <v>72</v>
      </c>
      <c r="B383" t="s">
        <v>5610</v>
      </c>
      <c r="C383" t="s">
        <v>74</v>
      </c>
      <c r="D383" t="s">
        <v>74</v>
      </c>
      <c r="E383" t="s">
        <v>74</v>
      </c>
      <c r="F383" t="s">
        <v>5610</v>
      </c>
      <c r="G383" t="s">
        <v>74</v>
      </c>
      <c r="H383" t="s">
        <v>74</v>
      </c>
      <c r="I383" t="s">
        <v>5611</v>
      </c>
      <c r="J383" t="s">
        <v>152</v>
      </c>
      <c r="K383" t="s">
        <v>74</v>
      </c>
      <c r="L383" t="s">
        <v>74</v>
      </c>
      <c r="M383" t="s">
        <v>77</v>
      </c>
      <c r="N383" t="s">
        <v>153</v>
      </c>
      <c r="O383" t="s">
        <v>74</v>
      </c>
      <c r="P383" t="s">
        <v>74</v>
      </c>
      <c r="Q383" t="s">
        <v>74</v>
      </c>
      <c r="R383" t="s">
        <v>74</v>
      </c>
      <c r="S383" t="s">
        <v>74</v>
      </c>
      <c r="T383" t="s">
        <v>5612</v>
      </c>
      <c r="U383" t="s">
        <v>5613</v>
      </c>
      <c r="V383" t="s">
        <v>5614</v>
      </c>
      <c r="W383" t="s">
        <v>5615</v>
      </c>
      <c r="X383" t="s">
        <v>5616</v>
      </c>
      <c r="Y383" t="s">
        <v>5617</v>
      </c>
      <c r="Z383" t="s">
        <v>5618</v>
      </c>
      <c r="AA383" t="s">
        <v>5619</v>
      </c>
      <c r="AB383" t="s">
        <v>74</v>
      </c>
      <c r="AC383" t="s">
        <v>74</v>
      </c>
      <c r="AD383" t="s">
        <v>74</v>
      </c>
      <c r="AE383" t="s">
        <v>74</v>
      </c>
      <c r="AF383" t="s">
        <v>74</v>
      </c>
      <c r="AG383">
        <v>76</v>
      </c>
      <c r="AH383">
        <v>59</v>
      </c>
      <c r="AI383">
        <v>73</v>
      </c>
      <c r="AJ383">
        <v>0</v>
      </c>
      <c r="AK383">
        <v>12</v>
      </c>
      <c r="AL383" t="s">
        <v>161</v>
      </c>
      <c r="AM383" t="s">
        <v>162</v>
      </c>
      <c r="AN383" t="s">
        <v>163</v>
      </c>
      <c r="AO383" t="s">
        <v>164</v>
      </c>
      <c r="AP383" t="s">
        <v>165</v>
      </c>
      <c r="AQ383" t="s">
        <v>74</v>
      </c>
      <c r="AR383" t="s">
        <v>152</v>
      </c>
      <c r="AS383" t="s">
        <v>166</v>
      </c>
      <c r="AT383" t="s">
        <v>5581</v>
      </c>
      <c r="AU383">
        <v>2002</v>
      </c>
      <c r="AV383">
        <v>17</v>
      </c>
      <c r="AW383">
        <v>2</v>
      </c>
      <c r="AX383" t="s">
        <v>74</v>
      </c>
      <c r="AY383" t="s">
        <v>74</v>
      </c>
      <c r="AZ383" t="s">
        <v>74</v>
      </c>
      <c r="BA383" t="s">
        <v>74</v>
      </c>
      <c r="BB383" t="s">
        <v>74</v>
      </c>
      <c r="BC383" t="s">
        <v>74</v>
      </c>
      <c r="BD383">
        <v>1019</v>
      </c>
      <c r="BE383" t="s">
        <v>5620</v>
      </c>
      <c r="BF383" t="str">
        <f>HYPERLINK("http://dx.doi.org/10.1029/2000PA000596","http://dx.doi.org/10.1029/2000PA000596")</f>
        <v>http://dx.doi.org/10.1029/2000PA000596</v>
      </c>
      <c r="BG383" t="s">
        <v>74</v>
      </c>
      <c r="BH383" t="s">
        <v>74</v>
      </c>
      <c r="BI383">
        <v>12</v>
      </c>
      <c r="BJ383" t="s">
        <v>169</v>
      </c>
      <c r="BK383" t="s">
        <v>170</v>
      </c>
      <c r="BL383" t="s">
        <v>171</v>
      </c>
      <c r="BM383" t="s">
        <v>5583</v>
      </c>
      <c r="BN383" t="s">
        <v>74</v>
      </c>
      <c r="BO383" t="s">
        <v>2089</v>
      </c>
      <c r="BP383" t="s">
        <v>74</v>
      </c>
      <c r="BQ383" t="s">
        <v>74</v>
      </c>
      <c r="BR383" t="s">
        <v>107</v>
      </c>
      <c r="BS383" t="s">
        <v>5621</v>
      </c>
      <c r="BT383" t="str">
        <f>HYPERLINK("https%3A%2F%2Fwww.webofscience.com%2Fwos%2Fwoscc%2Ffull-record%2FWOS:000178940200009","View Full Record in Web of Science")</f>
        <v>View Full Record in Web of Science</v>
      </c>
    </row>
    <row r="384" spans="1:72" x14ac:dyDescent="0.15">
      <c r="A384" t="s">
        <v>72</v>
      </c>
      <c r="B384" t="s">
        <v>5622</v>
      </c>
      <c r="C384" t="s">
        <v>74</v>
      </c>
      <c r="D384" t="s">
        <v>74</v>
      </c>
      <c r="E384" t="s">
        <v>74</v>
      </c>
      <c r="F384" t="s">
        <v>5622</v>
      </c>
      <c r="G384" t="s">
        <v>74</v>
      </c>
      <c r="H384" t="s">
        <v>74</v>
      </c>
      <c r="I384" t="s">
        <v>5623</v>
      </c>
      <c r="J384" t="s">
        <v>152</v>
      </c>
      <c r="K384" t="s">
        <v>74</v>
      </c>
      <c r="L384" t="s">
        <v>74</v>
      </c>
      <c r="M384" t="s">
        <v>77</v>
      </c>
      <c r="N384" t="s">
        <v>153</v>
      </c>
      <c r="O384" t="s">
        <v>74</v>
      </c>
      <c r="P384" t="s">
        <v>74</v>
      </c>
      <c r="Q384" t="s">
        <v>74</v>
      </c>
      <c r="R384" t="s">
        <v>74</v>
      </c>
      <c r="S384" t="s">
        <v>74</v>
      </c>
      <c r="T384" t="s">
        <v>5624</v>
      </c>
      <c r="U384" t="s">
        <v>5625</v>
      </c>
      <c r="V384" t="s">
        <v>5626</v>
      </c>
      <c r="W384" t="s">
        <v>5627</v>
      </c>
      <c r="X384" t="s">
        <v>5628</v>
      </c>
      <c r="Y384" t="s">
        <v>5629</v>
      </c>
      <c r="Z384" t="s">
        <v>74</v>
      </c>
      <c r="AA384" t="s">
        <v>5630</v>
      </c>
      <c r="AB384" t="s">
        <v>5631</v>
      </c>
      <c r="AC384" t="s">
        <v>74</v>
      </c>
      <c r="AD384" t="s">
        <v>74</v>
      </c>
      <c r="AE384" t="s">
        <v>74</v>
      </c>
      <c r="AF384" t="s">
        <v>74</v>
      </c>
      <c r="AG384">
        <v>76</v>
      </c>
      <c r="AH384">
        <v>81</v>
      </c>
      <c r="AI384">
        <v>82</v>
      </c>
      <c r="AJ384">
        <v>1</v>
      </c>
      <c r="AK384">
        <v>18</v>
      </c>
      <c r="AL384" t="s">
        <v>161</v>
      </c>
      <c r="AM384" t="s">
        <v>162</v>
      </c>
      <c r="AN384" t="s">
        <v>163</v>
      </c>
      <c r="AO384" t="s">
        <v>164</v>
      </c>
      <c r="AP384" t="s">
        <v>74</v>
      </c>
      <c r="AQ384" t="s">
        <v>74</v>
      </c>
      <c r="AR384" t="s">
        <v>152</v>
      </c>
      <c r="AS384" t="s">
        <v>166</v>
      </c>
      <c r="AT384" t="s">
        <v>5581</v>
      </c>
      <c r="AU384">
        <v>2002</v>
      </c>
      <c r="AV384">
        <v>17</v>
      </c>
      <c r="AW384">
        <v>2</v>
      </c>
      <c r="AX384" t="s">
        <v>74</v>
      </c>
      <c r="AY384" t="s">
        <v>74</v>
      </c>
      <c r="AZ384" t="s">
        <v>74</v>
      </c>
      <c r="BA384" t="s">
        <v>74</v>
      </c>
      <c r="BB384" t="s">
        <v>74</v>
      </c>
      <c r="BC384" t="s">
        <v>74</v>
      </c>
      <c r="BD384">
        <v>1012</v>
      </c>
      <c r="BE384" t="s">
        <v>5632</v>
      </c>
      <c r="BF384" t="str">
        <f>HYPERLINK("http://dx.doi.org/10.1029/2001PA000640","http://dx.doi.org/10.1029/2001PA000640")</f>
        <v>http://dx.doi.org/10.1029/2001PA000640</v>
      </c>
      <c r="BG384" t="s">
        <v>74</v>
      </c>
      <c r="BH384" t="s">
        <v>74</v>
      </c>
      <c r="BI384">
        <v>13</v>
      </c>
      <c r="BJ384" t="s">
        <v>169</v>
      </c>
      <c r="BK384" t="s">
        <v>170</v>
      </c>
      <c r="BL384" t="s">
        <v>171</v>
      </c>
      <c r="BM384" t="s">
        <v>5583</v>
      </c>
      <c r="BN384" t="s">
        <v>74</v>
      </c>
      <c r="BO384" t="s">
        <v>74</v>
      </c>
      <c r="BP384" t="s">
        <v>74</v>
      </c>
      <c r="BQ384" t="s">
        <v>74</v>
      </c>
      <c r="BR384" t="s">
        <v>107</v>
      </c>
      <c r="BS384" t="s">
        <v>5633</v>
      </c>
      <c r="BT384" t="str">
        <f>HYPERLINK("https%3A%2F%2Fwww.webofscience.com%2Fwos%2Fwoscc%2Ffull-record%2FWOS:000178940200016","View Full Record in Web of Science")</f>
        <v>View Full Record in Web of Science</v>
      </c>
    </row>
    <row r="385" spans="1:72" x14ac:dyDescent="0.15">
      <c r="A385" t="s">
        <v>72</v>
      </c>
      <c r="B385" t="s">
        <v>5634</v>
      </c>
      <c r="C385" t="s">
        <v>74</v>
      </c>
      <c r="D385" t="s">
        <v>74</v>
      </c>
      <c r="E385" t="s">
        <v>74</v>
      </c>
      <c r="F385" t="s">
        <v>5634</v>
      </c>
      <c r="G385" t="s">
        <v>74</v>
      </c>
      <c r="H385" t="s">
        <v>74</v>
      </c>
      <c r="I385" t="s">
        <v>5635</v>
      </c>
      <c r="J385" t="s">
        <v>5636</v>
      </c>
      <c r="K385" t="s">
        <v>74</v>
      </c>
      <c r="L385" t="s">
        <v>74</v>
      </c>
      <c r="M385" t="s">
        <v>77</v>
      </c>
      <c r="N385" t="s">
        <v>153</v>
      </c>
      <c r="O385" t="s">
        <v>74</v>
      </c>
      <c r="P385" t="s">
        <v>74</v>
      </c>
      <c r="Q385" t="s">
        <v>74</v>
      </c>
      <c r="R385" t="s">
        <v>74</v>
      </c>
      <c r="S385" t="s">
        <v>74</v>
      </c>
      <c r="T385" t="s">
        <v>74</v>
      </c>
      <c r="U385" t="s">
        <v>5637</v>
      </c>
      <c r="V385" t="s">
        <v>5638</v>
      </c>
      <c r="W385" t="s">
        <v>5639</v>
      </c>
      <c r="X385" t="s">
        <v>5640</v>
      </c>
      <c r="Y385" t="s">
        <v>3355</v>
      </c>
      <c r="Z385" t="s">
        <v>5641</v>
      </c>
      <c r="AA385" t="s">
        <v>5642</v>
      </c>
      <c r="AB385" t="s">
        <v>5643</v>
      </c>
      <c r="AC385" t="s">
        <v>74</v>
      </c>
      <c r="AD385" t="s">
        <v>74</v>
      </c>
      <c r="AE385" t="s">
        <v>74</v>
      </c>
      <c r="AF385" t="s">
        <v>74</v>
      </c>
      <c r="AG385">
        <v>42</v>
      </c>
      <c r="AH385">
        <v>110</v>
      </c>
      <c r="AI385">
        <v>116</v>
      </c>
      <c r="AJ385">
        <v>2</v>
      </c>
      <c r="AK385">
        <v>49</v>
      </c>
      <c r="AL385" t="s">
        <v>5644</v>
      </c>
      <c r="AM385" t="s">
        <v>5645</v>
      </c>
      <c r="AN385" t="s">
        <v>5646</v>
      </c>
      <c r="AO385" t="s">
        <v>5647</v>
      </c>
      <c r="AP385" t="s">
        <v>5648</v>
      </c>
      <c r="AQ385" t="s">
        <v>74</v>
      </c>
      <c r="AR385" t="s">
        <v>5649</v>
      </c>
      <c r="AS385" t="s">
        <v>5650</v>
      </c>
      <c r="AT385" t="s">
        <v>5287</v>
      </c>
      <c r="AU385">
        <v>2002</v>
      </c>
      <c r="AV385">
        <v>75</v>
      </c>
      <c r="AW385">
        <v>2</v>
      </c>
      <c r="AX385" t="s">
        <v>74</v>
      </c>
      <c r="AY385" t="s">
        <v>74</v>
      </c>
      <c r="AZ385" t="s">
        <v>74</v>
      </c>
      <c r="BA385" t="s">
        <v>74</v>
      </c>
      <c r="BB385">
        <v>123</v>
      </c>
      <c r="BC385">
        <v>133</v>
      </c>
      <c r="BD385" t="s">
        <v>74</v>
      </c>
      <c r="BE385" t="s">
        <v>5651</v>
      </c>
      <c r="BF385" t="str">
        <f>HYPERLINK("http://dx.doi.org/10.1086/340990","http://dx.doi.org/10.1086/340990")</f>
        <v>http://dx.doi.org/10.1086/340990</v>
      </c>
      <c r="BG385" t="s">
        <v>74</v>
      </c>
      <c r="BH385" t="s">
        <v>74</v>
      </c>
      <c r="BI385">
        <v>11</v>
      </c>
      <c r="BJ385" t="s">
        <v>2720</v>
      </c>
      <c r="BK385" t="s">
        <v>170</v>
      </c>
      <c r="BL385" t="s">
        <v>2720</v>
      </c>
      <c r="BM385" t="s">
        <v>5652</v>
      </c>
      <c r="BN385">
        <v>12024288</v>
      </c>
      <c r="BO385" t="s">
        <v>74</v>
      </c>
      <c r="BP385" t="s">
        <v>74</v>
      </c>
      <c r="BQ385" t="s">
        <v>74</v>
      </c>
      <c r="BR385" t="s">
        <v>107</v>
      </c>
      <c r="BS385" t="s">
        <v>5653</v>
      </c>
      <c r="BT385" t="str">
        <f>HYPERLINK("https%3A%2F%2Fwww.webofscience.com%2Fwos%2Fwoscc%2Ffull-record%2FWOS:000179222800002","View Full Record in Web of Science")</f>
        <v>View Full Record in Web of Science</v>
      </c>
    </row>
    <row r="386" spans="1:72" x14ac:dyDescent="0.15">
      <c r="A386" t="s">
        <v>72</v>
      </c>
      <c r="B386" t="s">
        <v>5654</v>
      </c>
      <c r="C386" t="s">
        <v>74</v>
      </c>
      <c r="D386" t="s">
        <v>74</v>
      </c>
      <c r="E386" t="s">
        <v>74</v>
      </c>
      <c r="F386" t="s">
        <v>5654</v>
      </c>
      <c r="G386" t="s">
        <v>74</v>
      </c>
      <c r="H386" t="s">
        <v>74</v>
      </c>
      <c r="I386" t="s">
        <v>5655</v>
      </c>
      <c r="J386" t="s">
        <v>263</v>
      </c>
      <c r="K386" t="s">
        <v>74</v>
      </c>
      <c r="L386" t="s">
        <v>74</v>
      </c>
      <c r="M386" t="s">
        <v>77</v>
      </c>
      <c r="N386" t="s">
        <v>153</v>
      </c>
      <c r="O386" t="s">
        <v>74</v>
      </c>
      <c r="P386" t="s">
        <v>74</v>
      </c>
      <c r="Q386" t="s">
        <v>74</v>
      </c>
      <c r="R386" t="s">
        <v>74</v>
      </c>
      <c r="S386" t="s">
        <v>74</v>
      </c>
      <c r="T386" t="s">
        <v>74</v>
      </c>
      <c r="U386" t="s">
        <v>5656</v>
      </c>
      <c r="V386" t="s">
        <v>5657</v>
      </c>
      <c r="W386" t="s">
        <v>5658</v>
      </c>
      <c r="X386" t="s">
        <v>5659</v>
      </c>
      <c r="Y386" t="s">
        <v>5660</v>
      </c>
      <c r="Z386" t="s">
        <v>5661</v>
      </c>
      <c r="AA386" t="s">
        <v>5662</v>
      </c>
      <c r="AB386" t="s">
        <v>74</v>
      </c>
      <c r="AC386" t="s">
        <v>74</v>
      </c>
      <c r="AD386" t="s">
        <v>74</v>
      </c>
      <c r="AE386" t="s">
        <v>74</v>
      </c>
      <c r="AF386" t="s">
        <v>74</v>
      </c>
      <c r="AG386">
        <v>38</v>
      </c>
      <c r="AH386">
        <v>7</v>
      </c>
      <c r="AI386">
        <v>8</v>
      </c>
      <c r="AJ386">
        <v>1</v>
      </c>
      <c r="AK386">
        <v>5</v>
      </c>
      <c r="AL386" t="s">
        <v>194</v>
      </c>
      <c r="AM386" t="s">
        <v>195</v>
      </c>
      <c r="AN386" t="s">
        <v>196</v>
      </c>
      <c r="AO386" t="s">
        <v>272</v>
      </c>
      <c r="AP386" t="s">
        <v>273</v>
      </c>
      <c r="AQ386" t="s">
        <v>74</v>
      </c>
      <c r="AR386" t="s">
        <v>274</v>
      </c>
      <c r="AS386" t="s">
        <v>275</v>
      </c>
      <c r="AT386" t="s">
        <v>4953</v>
      </c>
      <c r="AU386">
        <v>2002</v>
      </c>
      <c r="AV386">
        <v>25</v>
      </c>
      <c r="AW386">
        <v>3</v>
      </c>
      <c r="AX386" t="s">
        <v>74</v>
      </c>
      <c r="AY386" t="s">
        <v>74</v>
      </c>
      <c r="AZ386" t="s">
        <v>74</v>
      </c>
      <c r="BA386" t="s">
        <v>74</v>
      </c>
      <c r="BB386">
        <v>163</v>
      </c>
      <c r="BC386">
        <v>168</v>
      </c>
      <c r="BD386" t="s">
        <v>74</v>
      </c>
      <c r="BE386" t="s">
        <v>5663</v>
      </c>
      <c r="BF386" t="str">
        <f>HYPERLINK("http://dx.doi.org/10.1007/s003000100324","http://dx.doi.org/10.1007/s003000100324")</f>
        <v>http://dx.doi.org/10.1007/s003000100324</v>
      </c>
      <c r="BG386" t="s">
        <v>74</v>
      </c>
      <c r="BH386" t="s">
        <v>74</v>
      </c>
      <c r="BI386">
        <v>6</v>
      </c>
      <c r="BJ386" t="s">
        <v>277</v>
      </c>
      <c r="BK386" t="s">
        <v>170</v>
      </c>
      <c r="BL386" t="s">
        <v>278</v>
      </c>
      <c r="BM386" t="s">
        <v>5664</v>
      </c>
      <c r="BN386" t="s">
        <v>74</v>
      </c>
      <c r="BO386" t="s">
        <v>74</v>
      </c>
      <c r="BP386" t="s">
        <v>74</v>
      </c>
      <c r="BQ386" t="s">
        <v>74</v>
      </c>
      <c r="BR386" t="s">
        <v>107</v>
      </c>
      <c r="BS386" t="s">
        <v>5665</v>
      </c>
      <c r="BT386" t="str">
        <f>HYPERLINK("https%3A%2F%2Fwww.webofscience.com%2Fwos%2Fwoscc%2Ffull-record%2FWOS:000174713200001","View Full Record in Web of Science")</f>
        <v>View Full Record in Web of Science</v>
      </c>
    </row>
    <row r="387" spans="1:72" x14ac:dyDescent="0.15">
      <c r="A387" t="s">
        <v>72</v>
      </c>
      <c r="B387" t="s">
        <v>5666</v>
      </c>
      <c r="C387" t="s">
        <v>74</v>
      </c>
      <c r="D387" t="s">
        <v>74</v>
      </c>
      <c r="E387" t="s">
        <v>74</v>
      </c>
      <c r="F387" t="s">
        <v>5666</v>
      </c>
      <c r="G387" t="s">
        <v>74</v>
      </c>
      <c r="H387" t="s">
        <v>74</v>
      </c>
      <c r="I387" t="s">
        <v>5667</v>
      </c>
      <c r="J387" t="s">
        <v>263</v>
      </c>
      <c r="K387" t="s">
        <v>74</v>
      </c>
      <c r="L387" t="s">
        <v>74</v>
      </c>
      <c r="M387" t="s">
        <v>77</v>
      </c>
      <c r="N387" t="s">
        <v>153</v>
      </c>
      <c r="O387" t="s">
        <v>74</v>
      </c>
      <c r="P387" t="s">
        <v>74</v>
      </c>
      <c r="Q387" t="s">
        <v>74</v>
      </c>
      <c r="R387" t="s">
        <v>74</v>
      </c>
      <c r="S387" t="s">
        <v>74</v>
      </c>
      <c r="T387" t="s">
        <v>74</v>
      </c>
      <c r="U387" t="s">
        <v>5668</v>
      </c>
      <c r="V387" t="s">
        <v>5669</v>
      </c>
      <c r="W387" t="s">
        <v>5670</v>
      </c>
      <c r="X387" t="s">
        <v>1164</v>
      </c>
      <c r="Y387" t="s">
        <v>5671</v>
      </c>
      <c r="Z387" t="s">
        <v>74</v>
      </c>
      <c r="AA387" t="s">
        <v>74</v>
      </c>
      <c r="AB387" t="s">
        <v>74</v>
      </c>
      <c r="AC387" t="s">
        <v>74</v>
      </c>
      <c r="AD387" t="s">
        <v>74</v>
      </c>
      <c r="AE387" t="s">
        <v>74</v>
      </c>
      <c r="AF387" t="s">
        <v>74</v>
      </c>
      <c r="AG387">
        <v>43</v>
      </c>
      <c r="AH387">
        <v>8</v>
      </c>
      <c r="AI387">
        <v>9</v>
      </c>
      <c r="AJ387">
        <v>0</v>
      </c>
      <c r="AK387">
        <v>9</v>
      </c>
      <c r="AL387" t="s">
        <v>290</v>
      </c>
      <c r="AM387" t="s">
        <v>195</v>
      </c>
      <c r="AN387" t="s">
        <v>291</v>
      </c>
      <c r="AO387" t="s">
        <v>272</v>
      </c>
      <c r="AP387" t="s">
        <v>74</v>
      </c>
      <c r="AQ387" t="s">
        <v>74</v>
      </c>
      <c r="AR387" t="s">
        <v>274</v>
      </c>
      <c r="AS387" t="s">
        <v>275</v>
      </c>
      <c r="AT387" t="s">
        <v>4953</v>
      </c>
      <c r="AU387">
        <v>2002</v>
      </c>
      <c r="AV387">
        <v>25</v>
      </c>
      <c r="AW387">
        <v>3</v>
      </c>
      <c r="AX387" t="s">
        <v>74</v>
      </c>
      <c r="AY387" t="s">
        <v>74</v>
      </c>
      <c r="AZ387" t="s">
        <v>74</v>
      </c>
      <c r="BA387" t="s">
        <v>74</v>
      </c>
      <c r="BB387">
        <v>180</v>
      </c>
      <c r="BC387">
        <v>186</v>
      </c>
      <c r="BD387" t="s">
        <v>74</v>
      </c>
      <c r="BE387" t="s">
        <v>5672</v>
      </c>
      <c r="BF387" t="str">
        <f>HYPERLINK("http://dx.doi.org/10.1007/s003000100325","http://dx.doi.org/10.1007/s003000100325")</f>
        <v>http://dx.doi.org/10.1007/s003000100325</v>
      </c>
      <c r="BG387" t="s">
        <v>74</v>
      </c>
      <c r="BH387" t="s">
        <v>74</v>
      </c>
      <c r="BI387">
        <v>7</v>
      </c>
      <c r="BJ387" t="s">
        <v>277</v>
      </c>
      <c r="BK387" t="s">
        <v>170</v>
      </c>
      <c r="BL387" t="s">
        <v>278</v>
      </c>
      <c r="BM387" t="s">
        <v>5664</v>
      </c>
      <c r="BN387" t="s">
        <v>74</v>
      </c>
      <c r="BO387" t="s">
        <v>74</v>
      </c>
      <c r="BP387" t="s">
        <v>74</v>
      </c>
      <c r="BQ387" t="s">
        <v>74</v>
      </c>
      <c r="BR387" t="s">
        <v>107</v>
      </c>
      <c r="BS387" t="s">
        <v>5673</v>
      </c>
      <c r="BT387" t="str">
        <f>HYPERLINK("https%3A%2F%2Fwww.webofscience.com%2Fwos%2Fwoscc%2Ffull-record%2FWOS:000174713200003","View Full Record in Web of Science")</f>
        <v>View Full Record in Web of Science</v>
      </c>
    </row>
    <row r="388" spans="1:72" x14ac:dyDescent="0.15">
      <c r="A388" t="s">
        <v>72</v>
      </c>
      <c r="B388" t="s">
        <v>5674</v>
      </c>
      <c r="C388" t="s">
        <v>74</v>
      </c>
      <c r="D388" t="s">
        <v>74</v>
      </c>
      <c r="E388" t="s">
        <v>74</v>
      </c>
      <c r="F388" t="s">
        <v>5674</v>
      </c>
      <c r="G388" t="s">
        <v>74</v>
      </c>
      <c r="H388" t="s">
        <v>74</v>
      </c>
      <c r="I388" t="s">
        <v>5675</v>
      </c>
      <c r="J388" t="s">
        <v>263</v>
      </c>
      <c r="K388" t="s">
        <v>74</v>
      </c>
      <c r="L388" t="s">
        <v>74</v>
      </c>
      <c r="M388" t="s">
        <v>77</v>
      </c>
      <c r="N388" t="s">
        <v>153</v>
      </c>
      <c r="O388" t="s">
        <v>74</v>
      </c>
      <c r="P388" t="s">
        <v>74</v>
      </c>
      <c r="Q388" t="s">
        <v>74</v>
      </c>
      <c r="R388" t="s">
        <v>74</v>
      </c>
      <c r="S388" t="s">
        <v>74</v>
      </c>
      <c r="T388" t="s">
        <v>74</v>
      </c>
      <c r="U388" t="s">
        <v>5676</v>
      </c>
      <c r="V388" t="s">
        <v>5677</v>
      </c>
      <c r="W388" t="s">
        <v>5678</v>
      </c>
      <c r="X388" t="s">
        <v>5679</v>
      </c>
      <c r="Y388" t="s">
        <v>5680</v>
      </c>
      <c r="Z388" t="s">
        <v>74</v>
      </c>
      <c r="AA388" t="s">
        <v>5681</v>
      </c>
      <c r="AB388" t="s">
        <v>5682</v>
      </c>
      <c r="AC388" t="s">
        <v>74</v>
      </c>
      <c r="AD388" t="s">
        <v>74</v>
      </c>
      <c r="AE388" t="s">
        <v>74</v>
      </c>
      <c r="AF388" t="s">
        <v>74</v>
      </c>
      <c r="AG388">
        <v>18</v>
      </c>
      <c r="AH388">
        <v>44</v>
      </c>
      <c r="AI388">
        <v>47</v>
      </c>
      <c r="AJ388">
        <v>0</v>
      </c>
      <c r="AK388">
        <v>3</v>
      </c>
      <c r="AL388" t="s">
        <v>290</v>
      </c>
      <c r="AM388" t="s">
        <v>195</v>
      </c>
      <c r="AN388" t="s">
        <v>291</v>
      </c>
      <c r="AO388" t="s">
        <v>272</v>
      </c>
      <c r="AP388" t="s">
        <v>74</v>
      </c>
      <c r="AQ388" t="s">
        <v>74</v>
      </c>
      <c r="AR388" t="s">
        <v>274</v>
      </c>
      <c r="AS388" t="s">
        <v>275</v>
      </c>
      <c r="AT388" t="s">
        <v>4953</v>
      </c>
      <c r="AU388">
        <v>2002</v>
      </c>
      <c r="AV388">
        <v>25</v>
      </c>
      <c r="AW388">
        <v>3</v>
      </c>
      <c r="AX388" t="s">
        <v>74</v>
      </c>
      <c r="AY388" t="s">
        <v>74</v>
      </c>
      <c r="AZ388" t="s">
        <v>74</v>
      </c>
      <c r="BA388" t="s">
        <v>74</v>
      </c>
      <c r="BB388">
        <v>203</v>
      </c>
      <c r="BC388">
        <v>205</v>
      </c>
      <c r="BD388" t="s">
        <v>74</v>
      </c>
      <c r="BE388" t="s">
        <v>5683</v>
      </c>
      <c r="BF388" t="str">
        <f>HYPERLINK("http://dx.doi.org/10.1007/s00300-001-0327-x","http://dx.doi.org/10.1007/s00300-001-0327-x")</f>
        <v>http://dx.doi.org/10.1007/s00300-001-0327-x</v>
      </c>
      <c r="BG388" t="s">
        <v>74</v>
      </c>
      <c r="BH388" t="s">
        <v>74</v>
      </c>
      <c r="BI388">
        <v>3</v>
      </c>
      <c r="BJ388" t="s">
        <v>277</v>
      </c>
      <c r="BK388" t="s">
        <v>170</v>
      </c>
      <c r="BL388" t="s">
        <v>278</v>
      </c>
      <c r="BM388" t="s">
        <v>5664</v>
      </c>
      <c r="BN388" t="s">
        <v>74</v>
      </c>
      <c r="BO388" t="s">
        <v>74</v>
      </c>
      <c r="BP388" t="s">
        <v>74</v>
      </c>
      <c r="BQ388" t="s">
        <v>74</v>
      </c>
      <c r="BR388" t="s">
        <v>107</v>
      </c>
      <c r="BS388" t="s">
        <v>5684</v>
      </c>
      <c r="BT388" t="str">
        <f>HYPERLINK("https%3A%2F%2Fwww.webofscience.com%2Fwos%2Fwoscc%2Ffull-record%2FWOS:000174713200005","View Full Record in Web of Science")</f>
        <v>View Full Record in Web of Science</v>
      </c>
    </row>
    <row r="389" spans="1:72" x14ac:dyDescent="0.15">
      <c r="A389" t="s">
        <v>72</v>
      </c>
      <c r="B389" t="s">
        <v>5685</v>
      </c>
      <c r="C389" t="s">
        <v>74</v>
      </c>
      <c r="D389" t="s">
        <v>74</v>
      </c>
      <c r="E389" t="s">
        <v>74</v>
      </c>
      <c r="F389" t="s">
        <v>5685</v>
      </c>
      <c r="G389" t="s">
        <v>74</v>
      </c>
      <c r="H389" t="s">
        <v>74</v>
      </c>
      <c r="I389" t="s">
        <v>5686</v>
      </c>
      <c r="J389" t="s">
        <v>263</v>
      </c>
      <c r="K389" t="s">
        <v>74</v>
      </c>
      <c r="L389" t="s">
        <v>74</v>
      </c>
      <c r="M389" t="s">
        <v>77</v>
      </c>
      <c r="N389" t="s">
        <v>153</v>
      </c>
      <c r="O389" t="s">
        <v>74</v>
      </c>
      <c r="P389" t="s">
        <v>74</v>
      </c>
      <c r="Q389" t="s">
        <v>74</v>
      </c>
      <c r="R389" t="s">
        <v>74</v>
      </c>
      <c r="S389" t="s">
        <v>74</v>
      </c>
      <c r="T389" t="s">
        <v>74</v>
      </c>
      <c r="U389" t="s">
        <v>5687</v>
      </c>
      <c r="V389" t="s">
        <v>5688</v>
      </c>
      <c r="W389" t="s">
        <v>5689</v>
      </c>
      <c r="X389" t="s">
        <v>2256</v>
      </c>
      <c r="Y389" t="s">
        <v>5690</v>
      </c>
      <c r="Z389" t="s">
        <v>74</v>
      </c>
      <c r="AA389" t="s">
        <v>5691</v>
      </c>
      <c r="AB389" t="s">
        <v>5692</v>
      </c>
      <c r="AC389" t="s">
        <v>74</v>
      </c>
      <c r="AD389" t="s">
        <v>74</v>
      </c>
      <c r="AE389" t="s">
        <v>74</v>
      </c>
      <c r="AF389" t="s">
        <v>74</v>
      </c>
      <c r="AG389">
        <v>42</v>
      </c>
      <c r="AH389">
        <v>33</v>
      </c>
      <c r="AI389">
        <v>35</v>
      </c>
      <c r="AJ389">
        <v>2</v>
      </c>
      <c r="AK389">
        <v>22</v>
      </c>
      <c r="AL389" t="s">
        <v>290</v>
      </c>
      <c r="AM389" t="s">
        <v>195</v>
      </c>
      <c r="AN389" t="s">
        <v>291</v>
      </c>
      <c r="AO389" t="s">
        <v>272</v>
      </c>
      <c r="AP389" t="s">
        <v>74</v>
      </c>
      <c r="AQ389" t="s">
        <v>74</v>
      </c>
      <c r="AR389" t="s">
        <v>274</v>
      </c>
      <c r="AS389" t="s">
        <v>275</v>
      </c>
      <c r="AT389" t="s">
        <v>4953</v>
      </c>
      <c r="AU389">
        <v>2002</v>
      </c>
      <c r="AV389">
        <v>25</v>
      </c>
      <c r="AW389">
        <v>3</v>
      </c>
      <c r="AX389" t="s">
        <v>74</v>
      </c>
      <c r="AY389" t="s">
        <v>74</v>
      </c>
      <c r="AZ389" t="s">
        <v>74</v>
      </c>
      <c r="BA389" t="s">
        <v>74</v>
      </c>
      <c r="BB389">
        <v>206</v>
      </c>
      <c r="BC389">
        <v>215</v>
      </c>
      <c r="BD389" t="s">
        <v>74</v>
      </c>
      <c r="BE389" t="s">
        <v>5693</v>
      </c>
      <c r="BF389" t="str">
        <f>HYPERLINK("http://dx.doi.org/10.1007/s00300-001-0328-9","http://dx.doi.org/10.1007/s00300-001-0328-9")</f>
        <v>http://dx.doi.org/10.1007/s00300-001-0328-9</v>
      </c>
      <c r="BG389" t="s">
        <v>74</v>
      </c>
      <c r="BH389" t="s">
        <v>74</v>
      </c>
      <c r="BI389">
        <v>10</v>
      </c>
      <c r="BJ389" t="s">
        <v>277</v>
      </c>
      <c r="BK389" t="s">
        <v>170</v>
      </c>
      <c r="BL389" t="s">
        <v>278</v>
      </c>
      <c r="BM389" t="s">
        <v>5664</v>
      </c>
      <c r="BN389" t="s">
        <v>74</v>
      </c>
      <c r="BO389" t="s">
        <v>74</v>
      </c>
      <c r="BP389" t="s">
        <v>74</v>
      </c>
      <c r="BQ389" t="s">
        <v>74</v>
      </c>
      <c r="BR389" t="s">
        <v>107</v>
      </c>
      <c r="BS389" t="s">
        <v>5694</v>
      </c>
      <c r="BT389" t="str">
        <f>HYPERLINK("https%3A%2F%2Fwww.webofscience.com%2Fwos%2Fwoscc%2Ffull-record%2FWOS:000174713200006","View Full Record in Web of Science")</f>
        <v>View Full Record in Web of Science</v>
      </c>
    </row>
    <row r="390" spans="1:72" x14ac:dyDescent="0.15">
      <c r="A390" t="s">
        <v>72</v>
      </c>
      <c r="B390" t="s">
        <v>5695</v>
      </c>
      <c r="C390" t="s">
        <v>74</v>
      </c>
      <c r="D390" t="s">
        <v>74</v>
      </c>
      <c r="E390" t="s">
        <v>74</v>
      </c>
      <c r="F390" t="s">
        <v>5695</v>
      </c>
      <c r="G390" t="s">
        <v>74</v>
      </c>
      <c r="H390" t="s">
        <v>74</v>
      </c>
      <c r="I390" t="s">
        <v>5696</v>
      </c>
      <c r="J390" t="s">
        <v>263</v>
      </c>
      <c r="K390" t="s">
        <v>74</v>
      </c>
      <c r="L390" t="s">
        <v>74</v>
      </c>
      <c r="M390" t="s">
        <v>77</v>
      </c>
      <c r="N390" t="s">
        <v>153</v>
      </c>
      <c r="O390" t="s">
        <v>74</v>
      </c>
      <c r="P390" t="s">
        <v>74</v>
      </c>
      <c r="Q390" t="s">
        <v>74</v>
      </c>
      <c r="R390" t="s">
        <v>74</v>
      </c>
      <c r="S390" t="s">
        <v>74</v>
      </c>
      <c r="T390" t="s">
        <v>74</v>
      </c>
      <c r="U390" t="s">
        <v>5697</v>
      </c>
      <c r="V390" t="s">
        <v>5698</v>
      </c>
      <c r="W390" t="s">
        <v>5699</v>
      </c>
      <c r="X390" t="s">
        <v>5700</v>
      </c>
      <c r="Y390" t="s">
        <v>5701</v>
      </c>
      <c r="Z390" t="s">
        <v>5702</v>
      </c>
      <c r="AA390" t="s">
        <v>74</v>
      </c>
      <c r="AB390" t="s">
        <v>74</v>
      </c>
      <c r="AC390" t="s">
        <v>74</v>
      </c>
      <c r="AD390" t="s">
        <v>74</v>
      </c>
      <c r="AE390" t="s">
        <v>74</v>
      </c>
      <c r="AF390" t="s">
        <v>74</v>
      </c>
      <c r="AG390">
        <v>35</v>
      </c>
      <c r="AH390">
        <v>52</v>
      </c>
      <c r="AI390">
        <v>65</v>
      </c>
      <c r="AJ390">
        <v>0</v>
      </c>
      <c r="AK390">
        <v>25</v>
      </c>
      <c r="AL390" t="s">
        <v>194</v>
      </c>
      <c r="AM390" t="s">
        <v>195</v>
      </c>
      <c r="AN390" t="s">
        <v>271</v>
      </c>
      <c r="AO390" t="s">
        <v>272</v>
      </c>
      <c r="AP390" t="s">
        <v>273</v>
      </c>
      <c r="AQ390" t="s">
        <v>74</v>
      </c>
      <c r="AR390" t="s">
        <v>274</v>
      </c>
      <c r="AS390" t="s">
        <v>275</v>
      </c>
      <c r="AT390" t="s">
        <v>4953</v>
      </c>
      <c r="AU390">
        <v>2002</v>
      </c>
      <c r="AV390">
        <v>25</v>
      </c>
      <c r="AW390">
        <v>3</v>
      </c>
      <c r="AX390" t="s">
        <v>74</v>
      </c>
      <c r="AY390" t="s">
        <v>74</v>
      </c>
      <c r="AZ390" t="s">
        <v>74</v>
      </c>
      <c r="BA390" t="s">
        <v>74</v>
      </c>
      <c r="BB390">
        <v>222</v>
      </c>
      <c r="BC390">
        <v>229</v>
      </c>
      <c r="BD390" t="s">
        <v>74</v>
      </c>
      <c r="BE390" t="s">
        <v>5703</v>
      </c>
      <c r="BF390" t="str">
        <f>HYPERLINK("http://dx.doi.org/10.1007/s00300-001-0334-y","http://dx.doi.org/10.1007/s00300-001-0334-y")</f>
        <v>http://dx.doi.org/10.1007/s00300-001-0334-y</v>
      </c>
      <c r="BG390" t="s">
        <v>74</v>
      </c>
      <c r="BH390" t="s">
        <v>74</v>
      </c>
      <c r="BI390">
        <v>8</v>
      </c>
      <c r="BJ390" t="s">
        <v>277</v>
      </c>
      <c r="BK390" t="s">
        <v>170</v>
      </c>
      <c r="BL390" t="s">
        <v>278</v>
      </c>
      <c r="BM390" t="s">
        <v>5664</v>
      </c>
      <c r="BN390" t="s">
        <v>74</v>
      </c>
      <c r="BO390" t="s">
        <v>74</v>
      </c>
      <c r="BP390" t="s">
        <v>74</v>
      </c>
      <c r="BQ390" t="s">
        <v>74</v>
      </c>
      <c r="BR390" t="s">
        <v>107</v>
      </c>
      <c r="BS390" t="s">
        <v>5704</v>
      </c>
      <c r="BT390" t="str">
        <f>HYPERLINK("https%3A%2F%2Fwww.webofscience.com%2Fwos%2Fwoscc%2Ffull-record%2FWOS:000174713200008","View Full Record in Web of Science")</f>
        <v>View Full Record in Web of Science</v>
      </c>
    </row>
    <row r="391" spans="1:72" x14ac:dyDescent="0.15">
      <c r="A391" t="s">
        <v>72</v>
      </c>
      <c r="B391" t="s">
        <v>5705</v>
      </c>
      <c r="C391" t="s">
        <v>74</v>
      </c>
      <c r="D391" t="s">
        <v>74</v>
      </c>
      <c r="E391" t="s">
        <v>74</v>
      </c>
      <c r="F391" t="s">
        <v>5705</v>
      </c>
      <c r="G391" t="s">
        <v>74</v>
      </c>
      <c r="H391" t="s">
        <v>74</v>
      </c>
      <c r="I391" t="s">
        <v>5706</v>
      </c>
      <c r="J391" t="s">
        <v>263</v>
      </c>
      <c r="K391" t="s">
        <v>74</v>
      </c>
      <c r="L391" t="s">
        <v>74</v>
      </c>
      <c r="M391" t="s">
        <v>77</v>
      </c>
      <c r="N391" t="s">
        <v>153</v>
      </c>
      <c r="O391" t="s">
        <v>74</v>
      </c>
      <c r="P391" t="s">
        <v>74</v>
      </c>
      <c r="Q391" t="s">
        <v>74</v>
      </c>
      <c r="R391" t="s">
        <v>74</v>
      </c>
      <c r="S391" t="s">
        <v>74</v>
      </c>
      <c r="T391" t="s">
        <v>74</v>
      </c>
      <c r="U391" t="s">
        <v>74</v>
      </c>
      <c r="V391" t="s">
        <v>5707</v>
      </c>
      <c r="W391" t="s">
        <v>5708</v>
      </c>
      <c r="X391" t="s">
        <v>5709</v>
      </c>
      <c r="Y391" t="s">
        <v>5710</v>
      </c>
      <c r="Z391" t="s">
        <v>74</v>
      </c>
      <c r="AA391" t="s">
        <v>5711</v>
      </c>
      <c r="AB391" t="s">
        <v>5712</v>
      </c>
      <c r="AC391" t="s">
        <v>74</v>
      </c>
      <c r="AD391" t="s">
        <v>74</v>
      </c>
      <c r="AE391" t="s">
        <v>74</v>
      </c>
      <c r="AF391" t="s">
        <v>74</v>
      </c>
      <c r="AG391">
        <v>14</v>
      </c>
      <c r="AH391">
        <v>6</v>
      </c>
      <c r="AI391">
        <v>6</v>
      </c>
      <c r="AJ391">
        <v>0</v>
      </c>
      <c r="AK391">
        <v>9</v>
      </c>
      <c r="AL391" t="s">
        <v>290</v>
      </c>
      <c r="AM391" t="s">
        <v>195</v>
      </c>
      <c r="AN391" t="s">
        <v>291</v>
      </c>
      <c r="AO391" t="s">
        <v>272</v>
      </c>
      <c r="AP391" t="s">
        <v>74</v>
      </c>
      <c r="AQ391" t="s">
        <v>74</v>
      </c>
      <c r="AR391" t="s">
        <v>274</v>
      </c>
      <c r="AS391" t="s">
        <v>275</v>
      </c>
      <c r="AT391" t="s">
        <v>4953</v>
      </c>
      <c r="AU391">
        <v>2002</v>
      </c>
      <c r="AV391">
        <v>25</v>
      </c>
      <c r="AW391">
        <v>3</v>
      </c>
      <c r="AX391" t="s">
        <v>74</v>
      </c>
      <c r="AY391" t="s">
        <v>74</v>
      </c>
      <c r="AZ391" t="s">
        <v>74</v>
      </c>
      <c r="BA391" t="s">
        <v>74</v>
      </c>
      <c r="BB391">
        <v>238</v>
      </c>
      <c r="BC391">
        <v>240</v>
      </c>
      <c r="BD391" t="s">
        <v>74</v>
      </c>
      <c r="BE391" t="s">
        <v>5713</v>
      </c>
      <c r="BF391" t="str">
        <f>HYPERLINK("http://dx.doi.org/10.1007/s00300-001-0341-z","http://dx.doi.org/10.1007/s00300-001-0341-z")</f>
        <v>http://dx.doi.org/10.1007/s00300-001-0341-z</v>
      </c>
      <c r="BG391" t="s">
        <v>74</v>
      </c>
      <c r="BH391" t="s">
        <v>74</v>
      </c>
      <c r="BI391">
        <v>3</v>
      </c>
      <c r="BJ391" t="s">
        <v>277</v>
      </c>
      <c r="BK391" t="s">
        <v>170</v>
      </c>
      <c r="BL391" t="s">
        <v>278</v>
      </c>
      <c r="BM391" t="s">
        <v>5664</v>
      </c>
      <c r="BN391" t="s">
        <v>74</v>
      </c>
      <c r="BO391" t="s">
        <v>74</v>
      </c>
      <c r="BP391" t="s">
        <v>74</v>
      </c>
      <c r="BQ391" t="s">
        <v>74</v>
      </c>
      <c r="BR391" t="s">
        <v>107</v>
      </c>
      <c r="BS391" t="s">
        <v>5714</v>
      </c>
      <c r="BT391" t="str">
        <f>HYPERLINK("https%3A%2F%2Fwww.webofscience.com%2Fwos%2Fwoscc%2Ffull-record%2FWOS:000174713200011","View Full Record in Web of Science")</f>
        <v>View Full Record in Web of Science</v>
      </c>
    </row>
    <row r="392" spans="1:72" x14ac:dyDescent="0.15">
      <c r="A392" t="s">
        <v>72</v>
      </c>
      <c r="B392" t="s">
        <v>5715</v>
      </c>
      <c r="C392" t="s">
        <v>74</v>
      </c>
      <c r="D392" t="s">
        <v>74</v>
      </c>
      <c r="E392" t="s">
        <v>74</v>
      </c>
      <c r="F392" t="s">
        <v>5715</v>
      </c>
      <c r="G392" t="s">
        <v>74</v>
      </c>
      <c r="H392" t="s">
        <v>74</v>
      </c>
      <c r="I392" t="s">
        <v>5716</v>
      </c>
      <c r="J392" t="s">
        <v>5717</v>
      </c>
      <c r="K392" t="s">
        <v>74</v>
      </c>
      <c r="L392" t="s">
        <v>74</v>
      </c>
      <c r="M392" t="s">
        <v>77</v>
      </c>
      <c r="N392" t="s">
        <v>153</v>
      </c>
      <c r="O392" t="s">
        <v>74</v>
      </c>
      <c r="P392" t="s">
        <v>74</v>
      </c>
      <c r="Q392" t="s">
        <v>74</v>
      </c>
      <c r="R392" t="s">
        <v>74</v>
      </c>
      <c r="S392" t="s">
        <v>74</v>
      </c>
      <c r="T392" t="s">
        <v>5718</v>
      </c>
      <c r="U392" t="s">
        <v>5719</v>
      </c>
      <c r="V392" t="s">
        <v>5720</v>
      </c>
      <c r="W392" t="s">
        <v>5721</v>
      </c>
      <c r="X392" t="s">
        <v>5722</v>
      </c>
      <c r="Y392" t="s">
        <v>5723</v>
      </c>
      <c r="Z392" t="s">
        <v>74</v>
      </c>
      <c r="AA392" t="s">
        <v>5724</v>
      </c>
      <c r="AB392" t="s">
        <v>74</v>
      </c>
      <c r="AC392" t="s">
        <v>74</v>
      </c>
      <c r="AD392" t="s">
        <v>74</v>
      </c>
      <c r="AE392" t="s">
        <v>74</v>
      </c>
      <c r="AF392" t="s">
        <v>74</v>
      </c>
      <c r="AG392">
        <v>32</v>
      </c>
      <c r="AH392">
        <v>8</v>
      </c>
      <c r="AI392">
        <v>8</v>
      </c>
      <c r="AJ392">
        <v>0</v>
      </c>
      <c r="AK392">
        <v>1</v>
      </c>
      <c r="AL392" t="s">
        <v>5725</v>
      </c>
      <c r="AM392" t="s">
        <v>5726</v>
      </c>
      <c r="AN392" t="s">
        <v>5727</v>
      </c>
      <c r="AO392" t="s">
        <v>5728</v>
      </c>
      <c r="AP392" t="s">
        <v>74</v>
      </c>
      <c r="AQ392" t="s">
        <v>74</v>
      </c>
      <c r="AR392" t="s">
        <v>5729</v>
      </c>
      <c r="AS392" t="s">
        <v>5730</v>
      </c>
      <c r="AT392" t="s">
        <v>4953</v>
      </c>
      <c r="AU392">
        <v>2002</v>
      </c>
      <c r="AV392">
        <v>111</v>
      </c>
      <c r="AW392">
        <v>1</v>
      </c>
      <c r="AX392" t="s">
        <v>74</v>
      </c>
      <c r="AY392" t="s">
        <v>74</v>
      </c>
      <c r="AZ392" t="s">
        <v>74</v>
      </c>
      <c r="BA392" t="s">
        <v>74</v>
      </c>
      <c r="BB392">
        <v>39</v>
      </c>
      <c r="BC392">
        <v>49</v>
      </c>
      <c r="BD392" t="s">
        <v>74</v>
      </c>
      <c r="BE392" t="s">
        <v>74</v>
      </c>
      <c r="BF392" t="s">
        <v>74</v>
      </c>
      <c r="BG392" t="s">
        <v>74</v>
      </c>
      <c r="BH392" t="s">
        <v>74</v>
      </c>
      <c r="BI392">
        <v>11</v>
      </c>
      <c r="BJ392" t="s">
        <v>608</v>
      </c>
      <c r="BK392" t="s">
        <v>170</v>
      </c>
      <c r="BL392" t="s">
        <v>439</v>
      </c>
      <c r="BM392" t="s">
        <v>5731</v>
      </c>
      <c r="BN392" t="s">
        <v>74</v>
      </c>
      <c r="BO392" t="s">
        <v>173</v>
      </c>
      <c r="BP392" t="s">
        <v>74</v>
      </c>
      <c r="BQ392" t="s">
        <v>74</v>
      </c>
      <c r="BR392" t="s">
        <v>107</v>
      </c>
      <c r="BS392" t="s">
        <v>5732</v>
      </c>
      <c r="BT392" t="str">
        <f>HYPERLINK("https%3A%2F%2Fwww.webofscience.com%2Fwos%2Fwoscc%2Ffull-record%2FWOS:000174128500004","View Full Record in Web of Science")</f>
        <v>View Full Record in Web of Science</v>
      </c>
    </row>
    <row r="393" spans="1:72" x14ac:dyDescent="0.15">
      <c r="A393" t="s">
        <v>72</v>
      </c>
      <c r="B393" t="s">
        <v>5733</v>
      </c>
      <c r="C393" t="s">
        <v>74</v>
      </c>
      <c r="D393" t="s">
        <v>74</v>
      </c>
      <c r="E393" t="s">
        <v>74</v>
      </c>
      <c r="F393" t="s">
        <v>5733</v>
      </c>
      <c r="G393" t="s">
        <v>74</v>
      </c>
      <c r="H393" t="s">
        <v>74</v>
      </c>
      <c r="I393" t="s">
        <v>5734</v>
      </c>
      <c r="J393" t="s">
        <v>5717</v>
      </c>
      <c r="K393" t="s">
        <v>74</v>
      </c>
      <c r="L393" t="s">
        <v>74</v>
      </c>
      <c r="M393" t="s">
        <v>77</v>
      </c>
      <c r="N393" t="s">
        <v>153</v>
      </c>
      <c r="O393" t="s">
        <v>74</v>
      </c>
      <c r="P393" t="s">
        <v>74</v>
      </c>
      <c r="Q393" t="s">
        <v>74</v>
      </c>
      <c r="R393" t="s">
        <v>74</v>
      </c>
      <c r="S393" t="s">
        <v>74</v>
      </c>
      <c r="T393" t="s">
        <v>5735</v>
      </c>
      <c r="U393" t="s">
        <v>5736</v>
      </c>
      <c r="V393" t="s">
        <v>5737</v>
      </c>
      <c r="W393" t="s">
        <v>5052</v>
      </c>
      <c r="X393" t="s">
        <v>5053</v>
      </c>
      <c r="Y393" t="s">
        <v>5738</v>
      </c>
      <c r="Z393" t="s">
        <v>74</v>
      </c>
      <c r="AA393" t="s">
        <v>74</v>
      </c>
      <c r="AB393" t="s">
        <v>74</v>
      </c>
      <c r="AC393" t="s">
        <v>74</v>
      </c>
      <c r="AD393" t="s">
        <v>74</v>
      </c>
      <c r="AE393" t="s">
        <v>74</v>
      </c>
      <c r="AF393" t="s">
        <v>74</v>
      </c>
      <c r="AG393">
        <v>23</v>
      </c>
      <c r="AH393">
        <v>2</v>
      </c>
      <c r="AI393">
        <v>2</v>
      </c>
      <c r="AJ393">
        <v>0</v>
      </c>
      <c r="AK393">
        <v>2</v>
      </c>
      <c r="AL393" t="s">
        <v>5725</v>
      </c>
      <c r="AM393" t="s">
        <v>5726</v>
      </c>
      <c r="AN393" t="s">
        <v>5727</v>
      </c>
      <c r="AO393" t="s">
        <v>5728</v>
      </c>
      <c r="AP393" t="s">
        <v>74</v>
      </c>
      <c r="AQ393" t="s">
        <v>74</v>
      </c>
      <c r="AR393" t="s">
        <v>5729</v>
      </c>
      <c r="AS393" t="s">
        <v>5730</v>
      </c>
      <c r="AT393" t="s">
        <v>4953</v>
      </c>
      <c r="AU393">
        <v>2002</v>
      </c>
      <c r="AV393">
        <v>111</v>
      </c>
      <c r="AW393">
        <v>1</v>
      </c>
      <c r="AX393" t="s">
        <v>74</v>
      </c>
      <c r="AY393" t="s">
        <v>74</v>
      </c>
      <c r="AZ393" t="s">
        <v>74</v>
      </c>
      <c r="BA393" t="s">
        <v>74</v>
      </c>
      <c r="BB393">
        <v>51</v>
      </c>
      <c r="BC393">
        <v>62</v>
      </c>
      <c r="BD393" t="s">
        <v>74</v>
      </c>
      <c r="BE393" t="s">
        <v>74</v>
      </c>
      <c r="BF393" t="s">
        <v>74</v>
      </c>
      <c r="BG393" t="s">
        <v>74</v>
      </c>
      <c r="BH393" t="s">
        <v>74</v>
      </c>
      <c r="BI393">
        <v>12</v>
      </c>
      <c r="BJ393" t="s">
        <v>608</v>
      </c>
      <c r="BK393" t="s">
        <v>170</v>
      </c>
      <c r="BL393" t="s">
        <v>439</v>
      </c>
      <c r="BM393" t="s">
        <v>5731</v>
      </c>
      <c r="BN393" t="s">
        <v>74</v>
      </c>
      <c r="BO393" t="s">
        <v>173</v>
      </c>
      <c r="BP393" t="s">
        <v>74</v>
      </c>
      <c r="BQ393" t="s">
        <v>74</v>
      </c>
      <c r="BR393" t="s">
        <v>107</v>
      </c>
      <c r="BS393" t="s">
        <v>5739</v>
      </c>
      <c r="BT393" t="str">
        <f>HYPERLINK("https%3A%2F%2Fwww.webofscience.com%2Fwos%2Fwoscc%2Ffull-record%2FWOS:000174128500005","View Full Record in Web of Science")</f>
        <v>View Full Record in Web of Science</v>
      </c>
    </row>
    <row r="394" spans="1:72" x14ac:dyDescent="0.15">
      <c r="A394" t="s">
        <v>72</v>
      </c>
      <c r="B394" t="s">
        <v>5740</v>
      </c>
      <c r="C394" t="s">
        <v>74</v>
      </c>
      <c r="D394" t="s">
        <v>74</v>
      </c>
      <c r="E394" t="s">
        <v>74</v>
      </c>
      <c r="F394" t="s">
        <v>5740</v>
      </c>
      <c r="G394" t="s">
        <v>74</v>
      </c>
      <c r="H394" t="s">
        <v>74</v>
      </c>
      <c r="I394" t="s">
        <v>5741</v>
      </c>
      <c r="J394" t="s">
        <v>1903</v>
      </c>
      <c r="K394" t="s">
        <v>74</v>
      </c>
      <c r="L394" t="s">
        <v>74</v>
      </c>
      <c r="M394" t="s">
        <v>77</v>
      </c>
      <c r="N394" t="s">
        <v>153</v>
      </c>
      <c r="O394" t="s">
        <v>74</v>
      </c>
      <c r="P394" t="s">
        <v>74</v>
      </c>
      <c r="Q394" t="s">
        <v>74</v>
      </c>
      <c r="R394" t="s">
        <v>74</v>
      </c>
      <c r="S394" t="s">
        <v>74</v>
      </c>
      <c r="T394" t="s">
        <v>5742</v>
      </c>
      <c r="U394" t="s">
        <v>74</v>
      </c>
      <c r="V394" t="s">
        <v>5743</v>
      </c>
      <c r="W394" t="s">
        <v>5744</v>
      </c>
      <c r="X394" t="s">
        <v>5745</v>
      </c>
      <c r="Y394" t="s">
        <v>5746</v>
      </c>
      <c r="Z394" t="s">
        <v>74</v>
      </c>
      <c r="AA394" t="s">
        <v>5747</v>
      </c>
      <c r="AB394" t="s">
        <v>5748</v>
      </c>
      <c r="AC394" t="s">
        <v>74</v>
      </c>
      <c r="AD394" t="s">
        <v>74</v>
      </c>
      <c r="AE394" t="s">
        <v>74</v>
      </c>
      <c r="AF394" t="s">
        <v>74</v>
      </c>
      <c r="AG394">
        <v>16</v>
      </c>
      <c r="AH394">
        <v>8</v>
      </c>
      <c r="AI394">
        <v>10</v>
      </c>
      <c r="AJ394">
        <v>0</v>
      </c>
      <c r="AK394">
        <v>3</v>
      </c>
      <c r="AL394" t="s">
        <v>1912</v>
      </c>
      <c r="AM394" t="s">
        <v>1913</v>
      </c>
      <c r="AN394" t="s">
        <v>1914</v>
      </c>
      <c r="AO394" t="s">
        <v>1915</v>
      </c>
      <c r="AP394" t="s">
        <v>74</v>
      </c>
      <c r="AQ394" t="s">
        <v>74</v>
      </c>
      <c r="AR394" t="s">
        <v>1916</v>
      </c>
      <c r="AS394" t="s">
        <v>1917</v>
      </c>
      <c r="AT394" t="s">
        <v>4953</v>
      </c>
      <c r="AU394">
        <v>2002</v>
      </c>
      <c r="AV394">
        <v>66</v>
      </c>
      <c r="AW394">
        <v>1</v>
      </c>
      <c r="AX394" t="s">
        <v>74</v>
      </c>
      <c r="AY394" t="s">
        <v>74</v>
      </c>
      <c r="AZ394" t="s">
        <v>74</v>
      </c>
      <c r="BA394" t="s">
        <v>74</v>
      </c>
      <c r="BB394">
        <v>43</v>
      </c>
      <c r="BC394">
        <v>52</v>
      </c>
      <c r="BD394" t="s">
        <v>74</v>
      </c>
      <c r="BE394" t="s">
        <v>5749</v>
      </c>
      <c r="BF394" t="str">
        <f>HYPERLINK("http://dx.doi.org/10.3989/scimar.2002.66n143","http://dx.doi.org/10.3989/scimar.2002.66n143")</f>
        <v>http://dx.doi.org/10.3989/scimar.2002.66n143</v>
      </c>
      <c r="BG394" t="s">
        <v>74</v>
      </c>
      <c r="BH394" t="s">
        <v>74</v>
      </c>
      <c r="BI394">
        <v>10</v>
      </c>
      <c r="BJ394" t="s">
        <v>1919</v>
      </c>
      <c r="BK394" t="s">
        <v>170</v>
      </c>
      <c r="BL394" t="s">
        <v>1919</v>
      </c>
      <c r="BM394" t="s">
        <v>5750</v>
      </c>
      <c r="BN394" t="s">
        <v>74</v>
      </c>
      <c r="BO394" t="s">
        <v>5751</v>
      </c>
      <c r="BP394" t="s">
        <v>74</v>
      </c>
      <c r="BQ394" t="s">
        <v>74</v>
      </c>
      <c r="BR394" t="s">
        <v>107</v>
      </c>
      <c r="BS394" t="s">
        <v>5752</v>
      </c>
      <c r="BT394" t="str">
        <f>HYPERLINK("https%3A%2F%2Fwww.webofscience.com%2Fwos%2Fwoscc%2Ffull-record%2FWOS:000174452500006","View Full Record in Web of Science")</f>
        <v>View Full Record in Web of Science</v>
      </c>
    </row>
    <row r="395" spans="1:72" x14ac:dyDescent="0.15">
      <c r="A395" t="s">
        <v>72</v>
      </c>
      <c r="B395" t="s">
        <v>5753</v>
      </c>
      <c r="C395" t="s">
        <v>74</v>
      </c>
      <c r="D395" t="s">
        <v>74</v>
      </c>
      <c r="E395" t="s">
        <v>74</v>
      </c>
      <c r="F395" t="s">
        <v>5753</v>
      </c>
      <c r="G395" t="s">
        <v>74</v>
      </c>
      <c r="H395" t="s">
        <v>74</v>
      </c>
      <c r="I395" t="s">
        <v>5754</v>
      </c>
      <c r="J395" t="s">
        <v>5755</v>
      </c>
      <c r="K395" t="s">
        <v>74</v>
      </c>
      <c r="L395" t="s">
        <v>74</v>
      </c>
      <c r="M395" t="s">
        <v>77</v>
      </c>
      <c r="N395" t="s">
        <v>153</v>
      </c>
      <c r="O395" t="s">
        <v>74</v>
      </c>
      <c r="P395" t="s">
        <v>74</v>
      </c>
      <c r="Q395" t="s">
        <v>74</v>
      </c>
      <c r="R395" t="s">
        <v>74</v>
      </c>
      <c r="S395" t="s">
        <v>74</v>
      </c>
      <c r="T395" t="s">
        <v>74</v>
      </c>
      <c r="U395" t="s">
        <v>5756</v>
      </c>
      <c r="V395" t="s">
        <v>5757</v>
      </c>
      <c r="W395" t="s">
        <v>5758</v>
      </c>
      <c r="X395" t="s">
        <v>1908</v>
      </c>
      <c r="Y395" t="s">
        <v>5759</v>
      </c>
      <c r="Z395" t="s">
        <v>5760</v>
      </c>
      <c r="AA395" t="s">
        <v>5761</v>
      </c>
      <c r="AB395" t="s">
        <v>5762</v>
      </c>
      <c r="AC395" t="s">
        <v>74</v>
      </c>
      <c r="AD395" t="s">
        <v>74</v>
      </c>
      <c r="AE395" t="s">
        <v>74</v>
      </c>
      <c r="AF395" t="s">
        <v>74</v>
      </c>
      <c r="AG395">
        <v>33</v>
      </c>
      <c r="AH395">
        <v>8</v>
      </c>
      <c r="AI395">
        <v>12</v>
      </c>
      <c r="AJ395">
        <v>3</v>
      </c>
      <c r="AK395">
        <v>11</v>
      </c>
      <c r="AL395" t="s">
        <v>453</v>
      </c>
      <c r="AM395" t="s">
        <v>454</v>
      </c>
      <c r="AN395" t="s">
        <v>455</v>
      </c>
      <c r="AO395" t="s">
        <v>74</v>
      </c>
      <c r="AP395" t="s">
        <v>5763</v>
      </c>
      <c r="AQ395" t="s">
        <v>74</v>
      </c>
      <c r="AR395" t="s">
        <v>5764</v>
      </c>
      <c r="AS395" t="s">
        <v>5765</v>
      </c>
      <c r="AT395" t="s">
        <v>4953</v>
      </c>
      <c r="AU395">
        <v>2002</v>
      </c>
      <c r="AV395">
        <v>54</v>
      </c>
      <c r="AW395">
        <v>2</v>
      </c>
      <c r="AX395" t="s">
        <v>74</v>
      </c>
      <c r="AY395" t="s">
        <v>74</v>
      </c>
      <c r="AZ395" t="s">
        <v>74</v>
      </c>
      <c r="BA395" t="s">
        <v>74</v>
      </c>
      <c r="BB395">
        <v>187</v>
      </c>
      <c r="BC395">
        <v>204</v>
      </c>
      <c r="BD395" t="s">
        <v>74</v>
      </c>
      <c r="BE395" t="s">
        <v>5766</v>
      </c>
      <c r="BF395" t="str">
        <f>HYPERLINK("http://dx.doi.org/10.1034/j.1600-0870.2002.01290.x","http://dx.doi.org/10.1034/j.1600-0870.2002.01290.x")</f>
        <v>http://dx.doi.org/10.1034/j.1600-0870.2002.01290.x</v>
      </c>
      <c r="BG395" t="s">
        <v>74</v>
      </c>
      <c r="BH395" t="s">
        <v>74</v>
      </c>
      <c r="BI395">
        <v>18</v>
      </c>
      <c r="BJ395" t="s">
        <v>5144</v>
      </c>
      <c r="BK395" t="s">
        <v>170</v>
      </c>
      <c r="BL395" t="s">
        <v>5144</v>
      </c>
      <c r="BM395" t="s">
        <v>5767</v>
      </c>
      <c r="BN395" t="s">
        <v>74</v>
      </c>
      <c r="BO395" t="s">
        <v>461</v>
      </c>
      <c r="BP395" t="s">
        <v>74</v>
      </c>
      <c r="BQ395" t="s">
        <v>74</v>
      </c>
      <c r="BR395" t="s">
        <v>107</v>
      </c>
      <c r="BS395" t="s">
        <v>5768</v>
      </c>
      <c r="BT395" t="str">
        <f>HYPERLINK("https%3A%2F%2Fwww.webofscience.com%2Fwos%2Fwoscc%2Ffull-record%2FWOS:000174681800006","View Full Record in Web of Science")</f>
        <v>View Full Record in Web of Science</v>
      </c>
    </row>
    <row r="396" spans="1:72" x14ac:dyDescent="0.15">
      <c r="A396" t="s">
        <v>72</v>
      </c>
      <c r="B396" t="s">
        <v>5769</v>
      </c>
      <c r="C396" t="s">
        <v>74</v>
      </c>
      <c r="D396" t="s">
        <v>74</v>
      </c>
      <c r="E396" t="s">
        <v>74</v>
      </c>
      <c r="F396" t="s">
        <v>5769</v>
      </c>
      <c r="G396" t="s">
        <v>74</v>
      </c>
      <c r="H396" t="s">
        <v>74</v>
      </c>
      <c r="I396" t="s">
        <v>5770</v>
      </c>
      <c r="J396" t="s">
        <v>3208</v>
      </c>
      <c r="K396" t="s">
        <v>74</v>
      </c>
      <c r="L396" t="s">
        <v>74</v>
      </c>
      <c r="M396" t="s">
        <v>77</v>
      </c>
      <c r="N396" t="s">
        <v>153</v>
      </c>
      <c r="O396" t="s">
        <v>74</v>
      </c>
      <c r="P396" t="s">
        <v>74</v>
      </c>
      <c r="Q396" t="s">
        <v>74</v>
      </c>
      <c r="R396" t="s">
        <v>74</v>
      </c>
      <c r="S396" t="s">
        <v>74</v>
      </c>
      <c r="T396" t="s">
        <v>74</v>
      </c>
      <c r="U396" t="s">
        <v>5771</v>
      </c>
      <c r="V396" t="s">
        <v>5772</v>
      </c>
      <c r="W396" t="s">
        <v>3845</v>
      </c>
      <c r="X396" t="s">
        <v>3846</v>
      </c>
      <c r="Y396" t="s">
        <v>5773</v>
      </c>
      <c r="Z396" t="s">
        <v>5774</v>
      </c>
      <c r="AA396" t="s">
        <v>5775</v>
      </c>
      <c r="AB396" t="s">
        <v>5776</v>
      </c>
      <c r="AC396" t="s">
        <v>74</v>
      </c>
      <c r="AD396" t="s">
        <v>74</v>
      </c>
      <c r="AE396" t="s">
        <v>74</v>
      </c>
      <c r="AF396" t="s">
        <v>74</v>
      </c>
      <c r="AG396">
        <v>30</v>
      </c>
      <c r="AH396">
        <v>89</v>
      </c>
      <c r="AI396">
        <v>99</v>
      </c>
      <c r="AJ396">
        <v>0</v>
      </c>
      <c r="AK396">
        <v>15</v>
      </c>
      <c r="AL396" t="s">
        <v>3214</v>
      </c>
      <c r="AM396" t="s">
        <v>1127</v>
      </c>
      <c r="AN396" t="s">
        <v>3215</v>
      </c>
      <c r="AO396" t="s">
        <v>3216</v>
      </c>
      <c r="AP396" t="s">
        <v>3217</v>
      </c>
      <c r="AQ396" t="s">
        <v>74</v>
      </c>
      <c r="AR396" t="s">
        <v>3208</v>
      </c>
      <c r="AS396" t="s">
        <v>3218</v>
      </c>
      <c r="AT396" t="s">
        <v>5777</v>
      </c>
      <c r="AU396">
        <v>2002</v>
      </c>
      <c r="AV396">
        <v>415</v>
      </c>
      <c r="AW396">
        <v>6875</v>
      </c>
      <c r="AX396" t="s">
        <v>74</v>
      </c>
      <c r="AY396" t="s">
        <v>74</v>
      </c>
      <c r="AZ396" t="s">
        <v>74</v>
      </c>
      <c r="BA396" t="s">
        <v>74</v>
      </c>
      <c r="BB396">
        <v>1011</v>
      </c>
      <c r="BC396">
        <v>1014</v>
      </c>
      <c r="BD396" t="s">
        <v>74</v>
      </c>
      <c r="BE396" t="s">
        <v>5778</v>
      </c>
      <c r="BF396" t="str">
        <f>HYPERLINK("http://dx.doi.org/10.1038/4151011a","http://dx.doi.org/10.1038/4151011a")</f>
        <v>http://dx.doi.org/10.1038/4151011a</v>
      </c>
      <c r="BG396" t="s">
        <v>74</v>
      </c>
      <c r="BH396" t="s">
        <v>74</v>
      </c>
      <c r="BI396">
        <v>4</v>
      </c>
      <c r="BJ396" t="s">
        <v>662</v>
      </c>
      <c r="BK396" t="s">
        <v>170</v>
      </c>
      <c r="BL396" t="s">
        <v>663</v>
      </c>
      <c r="BM396" t="s">
        <v>5779</v>
      </c>
      <c r="BN396">
        <v>11875565</v>
      </c>
      <c r="BO396" t="s">
        <v>74</v>
      </c>
      <c r="BP396" t="s">
        <v>74</v>
      </c>
      <c r="BQ396" t="s">
        <v>74</v>
      </c>
      <c r="BR396" t="s">
        <v>107</v>
      </c>
      <c r="BS396" t="s">
        <v>5780</v>
      </c>
      <c r="BT396" t="str">
        <f>HYPERLINK("https%3A%2F%2Fwww.webofscience.com%2Fwos%2Fwoscc%2Ffull-record%2FWOS:000174075000041","View Full Record in Web of Science")</f>
        <v>View Full Record in Web of Science</v>
      </c>
    </row>
    <row r="397" spans="1:72" x14ac:dyDescent="0.15">
      <c r="A397" t="s">
        <v>72</v>
      </c>
      <c r="B397" t="s">
        <v>5781</v>
      </c>
      <c r="C397" t="s">
        <v>74</v>
      </c>
      <c r="D397" t="s">
        <v>74</v>
      </c>
      <c r="E397" t="s">
        <v>74</v>
      </c>
      <c r="F397" t="s">
        <v>5781</v>
      </c>
      <c r="G397" t="s">
        <v>74</v>
      </c>
      <c r="H397" t="s">
        <v>74</v>
      </c>
      <c r="I397" t="s">
        <v>5782</v>
      </c>
      <c r="J397" t="s">
        <v>5783</v>
      </c>
      <c r="K397" t="s">
        <v>74</v>
      </c>
      <c r="L397" t="s">
        <v>74</v>
      </c>
      <c r="M397" t="s">
        <v>77</v>
      </c>
      <c r="N397" t="s">
        <v>5784</v>
      </c>
      <c r="O397" t="s">
        <v>74</v>
      </c>
      <c r="P397" t="s">
        <v>74</v>
      </c>
      <c r="Q397" t="s">
        <v>74</v>
      </c>
      <c r="R397" t="s">
        <v>74</v>
      </c>
      <c r="S397" t="s">
        <v>74</v>
      </c>
      <c r="T397" t="s">
        <v>74</v>
      </c>
      <c r="U397" t="s">
        <v>74</v>
      </c>
      <c r="V397" t="s">
        <v>74</v>
      </c>
      <c r="W397" t="s">
        <v>74</v>
      </c>
      <c r="X397" t="s">
        <v>74</v>
      </c>
      <c r="Y397" t="s">
        <v>74</v>
      </c>
      <c r="Z397" t="s">
        <v>74</v>
      </c>
      <c r="AA397" t="s">
        <v>74</v>
      </c>
      <c r="AB397" t="s">
        <v>74</v>
      </c>
      <c r="AC397" t="s">
        <v>74</v>
      </c>
      <c r="AD397" t="s">
        <v>74</v>
      </c>
      <c r="AE397" t="s">
        <v>74</v>
      </c>
      <c r="AF397" t="s">
        <v>74</v>
      </c>
      <c r="AG397">
        <v>1</v>
      </c>
      <c r="AH397">
        <v>0</v>
      </c>
      <c r="AI397">
        <v>0</v>
      </c>
      <c r="AJ397">
        <v>0</v>
      </c>
      <c r="AK397">
        <v>0</v>
      </c>
      <c r="AL397" t="s">
        <v>5785</v>
      </c>
      <c r="AM397" t="s">
        <v>5786</v>
      </c>
      <c r="AN397" t="s">
        <v>5787</v>
      </c>
      <c r="AO397" t="s">
        <v>5788</v>
      </c>
      <c r="AP397" t="s">
        <v>5789</v>
      </c>
      <c r="AQ397" t="s">
        <v>74</v>
      </c>
      <c r="AR397" t="s">
        <v>5790</v>
      </c>
      <c r="AS397" t="s">
        <v>5791</v>
      </c>
      <c r="AT397" t="s">
        <v>5792</v>
      </c>
      <c r="AU397">
        <v>2002</v>
      </c>
      <c r="AV397" t="s">
        <v>74</v>
      </c>
      <c r="AW397">
        <v>5160</v>
      </c>
      <c r="AX397" t="s">
        <v>74</v>
      </c>
      <c r="AY397" t="s">
        <v>74</v>
      </c>
      <c r="AZ397" t="s">
        <v>74</v>
      </c>
      <c r="BA397" t="s">
        <v>74</v>
      </c>
      <c r="BB397">
        <v>5</v>
      </c>
      <c r="BC397">
        <v>6</v>
      </c>
      <c r="BD397" t="s">
        <v>74</v>
      </c>
      <c r="BE397" t="s">
        <v>74</v>
      </c>
      <c r="BF397" t="s">
        <v>74</v>
      </c>
      <c r="BG397" t="s">
        <v>74</v>
      </c>
      <c r="BH397" t="s">
        <v>74</v>
      </c>
      <c r="BI397">
        <v>2</v>
      </c>
      <c r="BJ397" t="s">
        <v>5793</v>
      </c>
      <c r="BK397" t="s">
        <v>5794</v>
      </c>
      <c r="BL397" t="s">
        <v>5795</v>
      </c>
      <c r="BM397" t="s">
        <v>5796</v>
      </c>
      <c r="BN397" t="s">
        <v>74</v>
      </c>
      <c r="BO397" t="s">
        <v>74</v>
      </c>
      <c r="BP397" t="s">
        <v>74</v>
      </c>
      <c r="BQ397" t="s">
        <v>74</v>
      </c>
      <c r="BR397" t="s">
        <v>107</v>
      </c>
      <c r="BS397" t="s">
        <v>5797</v>
      </c>
      <c r="BT397" t="str">
        <f>HYPERLINK("https%3A%2F%2Fwww.webofscience.com%2Fwos%2Fwoscc%2Ffull-record%2FWOS:000174074900004","View Full Record in Web of Science")</f>
        <v>View Full Record in Web of Science</v>
      </c>
    </row>
    <row r="398" spans="1:72" x14ac:dyDescent="0.15">
      <c r="A398" t="s">
        <v>72</v>
      </c>
      <c r="B398" t="s">
        <v>5798</v>
      </c>
      <c r="C398" t="s">
        <v>74</v>
      </c>
      <c r="D398" t="s">
        <v>74</v>
      </c>
      <c r="E398" t="s">
        <v>74</v>
      </c>
      <c r="F398" t="s">
        <v>5798</v>
      </c>
      <c r="G398" t="s">
        <v>74</v>
      </c>
      <c r="H398" t="s">
        <v>74</v>
      </c>
      <c r="I398" t="s">
        <v>5799</v>
      </c>
      <c r="J398" t="s">
        <v>669</v>
      </c>
      <c r="K398" t="s">
        <v>74</v>
      </c>
      <c r="L398" t="s">
        <v>74</v>
      </c>
      <c r="M398" t="s">
        <v>77</v>
      </c>
      <c r="N398" t="s">
        <v>153</v>
      </c>
      <c r="O398" t="s">
        <v>74</v>
      </c>
      <c r="P398" t="s">
        <v>74</v>
      </c>
      <c r="Q398" t="s">
        <v>74</v>
      </c>
      <c r="R398" t="s">
        <v>74</v>
      </c>
      <c r="S398" t="s">
        <v>74</v>
      </c>
      <c r="T398" t="s">
        <v>74</v>
      </c>
      <c r="U398" t="s">
        <v>5800</v>
      </c>
      <c r="V398" t="s">
        <v>5801</v>
      </c>
      <c r="W398" t="s">
        <v>5802</v>
      </c>
      <c r="X398" t="s">
        <v>5803</v>
      </c>
      <c r="Y398" t="s">
        <v>5804</v>
      </c>
      <c r="Z398" t="s">
        <v>74</v>
      </c>
      <c r="AA398" t="s">
        <v>74</v>
      </c>
      <c r="AB398" t="s">
        <v>74</v>
      </c>
      <c r="AC398" t="s">
        <v>74</v>
      </c>
      <c r="AD398" t="s">
        <v>74</v>
      </c>
      <c r="AE398" t="s">
        <v>74</v>
      </c>
      <c r="AF398" t="s">
        <v>74</v>
      </c>
      <c r="AG398">
        <v>31</v>
      </c>
      <c r="AH398">
        <v>208</v>
      </c>
      <c r="AI398">
        <v>234</v>
      </c>
      <c r="AJ398">
        <v>0</v>
      </c>
      <c r="AK398">
        <v>23</v>
      </c>
      <c r="AL398" t="s">
        <v>678</v>
      </c>
      <c r="AM398" t="s">
        <v>162</v>
      </c>
      <c r="AN398" t="s">
        <v>679</v>
      </c>
      <c r="AO398" t="s">
        <v>680</v>
      </c>
      <c r="AP398" t="s">
        <v>74</v>
      </c>
      <c r="AQ398" t="s">
        <v>74</v>
      </c>
      <c r="AR398" t="s">
        <v>681</v>
      </c>
      <c r="AS398" t="s">
        <v>682</v>
      </c>
      <c r="AT398" t="s">
        <v>5805</v>
      </c>
      <c r="AU398">
        <v>2002</v>
      </c>
      <c r="AV398">
        <v>99</v>
      </c>
      <c r="AW398">
        <v>4</v>
      </c>
      <c r="AX398" t="s">
        <v>74</v>
      </c>
      <c r="AY398" t="s">
        <v>74</v>
      </c>
      <c r="AZ398" t="s">
        <v>74</v>
      </c>
      <c r="BA398" t="s">
        <v>74</v>
      </c>
      <c r="BB398">
        <v>1790</v>
      </c>
      <c r="BC398">
        <v>1795</v>
      </c>
      <c r="BD398" t="s">
        <v>74</v>
      </c>
      <c r="BE398" t="s">
        <v>5806</v>
      </c>
      <c r="BF398" t="str">
        <f>HYPERLINK("http://dx.doi.org/10.1073/pnas.032206999","http://dx.doi.org/10.1073/pnas.032206999")</f>
        <v>http://dx.doi.org/10.1073/pnas.032206999</v>
      </c>
      <c r="BG398" t="s">
        <v>74</v>
      </c>
      <c r="BH398" t="s">
        <v>74</v>
      </c>
      <c r="BI398">
        <v>6</v>
      </c>
      <c r="BJ398" t="s">
        <v>662</v>
      </c>
      <c r="BK398" t="s">
        <v>170</v>
      </c>
      <c r="BL398" t="s">
        <v>663</v>
      </c>
      <c r="BM398" t="s">
        <v>5807</v>
      </c>
      <c r="BN398">
        <v>11830636</v>
      </c>
      <c r="BO398" t="s">
        <v>106</v>
      </c>
      <c r="BP398" t="s">
        <v>74</v>
      </c>
      <c r="BQ398" t="s">
        <v>74</v>
      </c>
      <c r="BR398" t="s">
        <v>107</v>
      </c>
      <c r="BS398" t="s">
        <v>5808</v>
      </c>
      <c r="BT398" t="str">
        <f>HYPERLINK("https%3A%2F%2Fwww.webofscience.com%2Fwos%2Fwoscc%2Ffull-record%2FWOS:000174031100010","View Full Record in Web of Science")</f>
        <v>View Full Record in Web of Science</v>
      </c>
    </row>
    <row r="399" spans="1:72" x14ac:dyDescent="0.15">
      <c r="A399" t="s">
        <v>72</v>
      </c>
      <c r="B399" t="s">
        <v>5809</v>
      </c>
      <c r="C399" t="s">
        <v>74</v>
      </c>
      <c r="D399" t="s">
        <v>74</v>
      </c>
      <c r="E399" t="s">
        <v>74</v>
      </c>
      <c r="F399" t="s">
        <v>5809</v>
      </c>
      <c r="G399" t="s">
        <v>74</v>
      </c>
      <c r="H399" t="s">
        <v>74</v>
      </c>
      <c r="I399" t="s">
        <v>5810</v>
      </c>
      <c r="J399" t="s">
        <v>5811</v>
      </c>
      <c r="K399" t="s">
        <v>74</v>
      </c>
      <c r="L399" t="s">
        <v>74</v>
      </c>
      <c r="M399" t="s">
        <v>77</v>
      </c>
      <c r="N399" t="s">
        <v>153</v>
      </c>
      <c r="O399" t="s">
        <v>74</v>
      </c>
      <c r="P399" t="s">
        <v>74</v>
      </c>
      <c r="Q399" t="s">
        <v>74</v>
      </c>
      <c r="R399" t="s">
        <v>74</v>
      </c>
      <c r="S399" t="s">
        <v>74</v>
      </c>
      <c r="T399" t="s">
        <v>5812</v>
      </c>
      <c r="U399" t="s">
        <v>5813</v>
      </c>
      <c r="V399" t="s">
        <v>5814</v>
      </c>
      <c r="W399" t="s">
        <v>5815</v>
      </c>
      <c r="X399" t="s">
        <v>5816</v>
      </c>
      <c r="Y399" t="s">
        <v>5817</v>
      </c>
      <c r="Z399" t="s">
        <v>74</v>
      </c>
      <c r="AA399" t="s">
        <v>5818</v>
      </c>
      <c r="AB399" t="s">
        <v>5819</v>
      </c>
      <c r="AC399" t="s">
        <v>74</v>
      </c>
      <c r="AD399" t="s">
        <v>74</v>
      </c>
      <c r="AE399" t="s">
        <v>74</v>
      </c>
      <c r="AF399" t="s">
        <v>74</v>
      </c>
      <c r="AG399">
        <v>24</v>
      </c>
      <c r="AH399">
        <v>50</v>
      </c>
      <c r="AI399">
        <v>51</v>
      </c>
      <c r="AJ399">
        <v>0</v>
      </c>
      <c r="AK399">
        <v>14</v>
      </c>
      <c r="AL399" t="s">
        <v>132</v>
      </c>
      <c r="AM399" t="s">
        <v>91</v>
      </c>
      <c r="AN399" t="s">
        <v>133</v>
      </c>
      <c r="AO399" t="s">
        <v>5820</v>
      </c>
      <c r="AP399" t="s">
        <v>74</v>
      </c>
      <c r="AQ399" t="s">
        <v>74</v>
      </c>
      <c r="AR399" t="s">
        <v>5821</v>
      </c>
      <c r="AS399" t="s">
        <v>5822</v>
      </c>
      <c r="AT399" t="s">
        <v>5823</v>
      </c>
      <c r="AU399">
        <v>2002</v>
      </c>
      <c r="AV399">
        <v>453</v>
      </c>
      <c r="AW399">
        <v>1</v>
      </c>
      <c r="AX399" t="s">
        <v>74</v>
      </c>
      <c r="AY399" t="s">
        <v>74</v>
      </c>
      <c r="AZ399" t="s">
        <v>74</v>
      </c>
      <c r="BA399" t="s">
        <v>74</v>
      </c>
      <c r="BB399">
        <v>1</v>
      </c>
      <c r="BC399">
        <v>12</v>
      </c>
      <c r="BD399" t="s">
        <v>74</v>
      </c>
      <c r="BE399" t="s">
        <v>5824</v>
      </c>
      <c r="BF399" t="str">
        <f>HYPERLINK("http://dx.doi.org/10.1016/S0003-2670(01)01490-8","http://dx.doi.org/10.1016/S0003-2670(01)01490-8")</f>
        <v>http://dx.doi.org/10.1016/S0003-2670(01)01490-8</v>
      </c>
      <c r="BG399" t="s">
        <v>74</v>
      </c>
      <c r="BH399" t="s">
        <v>74</v>
      </c>
      <c r="BI399">
        <v>12</v>
      </c>
      <c r="BJ399" t="s">
        <v>2188</v>
      </c>
      <c r="BK399" t="s">
        <v>170</v>
      </c>
      <c r="BL399" t="s">
        <v>2189</v>
      </c>
      <c r="BM399" t="s">
        <v>5825</v>
      </c>
      <c r="BN399" t="s">
        <v>74</v>
      </c>
      <c r="BO399" t="s">
        <v>74</v>
      </c>
      <c r="BP399" t="s">
        <v>74</v>
      </c>
      <c r="BQ399" t="s">
        <v>74</v>
      </c>
      <c r="BR399" t="s">
        <v>107</v>
      </c>
      <c r="BS399" t="s">
        <v>5826</v>
      </c>
      <c r="BT399" t="str">
        <f>HYPERLINK("https%3A%2F%2Fwww.webofscience.com%2Fwos%2Fwoscc%2Ffull-record%2FWOS:000173816200001","View Full Record in Web of Science")</f>
        <v>View Full Record in Web of Science</v>
      </c>
    </row>
    <row r="400" spans="1:72" x14ac:dyDescent="0.15">
      <c r="A400" t="s">
        <v>72</v>
      </c>
      <c r="B400" t="s">
        <v>5827</v>
      </c>
      <c r="C400" t="s">
        <v>74</v>
      </c>
      <c r="D400" t="s">
        <v>74</v>
      </c>
      <c r="E400" t="s">
        <v>74</v>
      </c>
      <c r="F400" t="s">
        <v>5827</v>
      </c>
      <c r="G400" t="s">
        <v>74</v>
      </c>
      <c r="H400" t="s">
        <v>74</v>
      </c>
      <c r="I400" t="s">
        <v>5828</v>
      </c>
      <c r="J400" t="s">
        <v>5829</v>
      </c>
      <c r="K400" t="s">
        <v>74</v>
      </c>
      <c r="L400" t="s">
        <v>74</v>
      </c>
      <c r="M400" t="s">
        <v>77</v>
      </c>
      <c r="N400" t="s">
        <v>153</v>
      </c>
      <c r="O400" t="s">
        <v>74</v>
      </c>
      <c r="P400" t="s">
        <v>74</v>
      </c>
      <c r="Q400" t="s">
        <v>74</v>
      </c>
      <c r="R400" t="s">
        <v>74</v>
      </c>
      <c r="S400" t="s">
        <v>74</v>
      </c>
      <c r="T400" t="s">
        <v>5830</v>
      </c>
      <c r="U400" t="s">
        <v>5831</v>
      </c>
      <c r="V400" t="s">
        <v>5832</v>
      </c>
      <c r="W400" t="s">
        <v>5833</v>
      </c>
      <c r="X400" t="s">
        <v>5834</v>
      </c>
      <c r="Y400" t="s">
        <v>5835</v>
      </c>
      <c r="Z400" t="s">
        <v>5836</v>
      </c>
      <c r="AA400" t="s">
        <v>5837</v>
      </c>
      <c r="AB400" t="s">
        <v>5838</v>
      </c>
      <c r="AC400" t="s">
        <v>74</v>
      </c>
      <c r="AD400" t="s">
        <v>74</v>
      </c>
      <c r="AE400" t="s">
        <v>74</v>
      </c>
      <c r="AF400" t="s">
        <v>74</v>
      </c>
      <c r="AG400">
        <v>92</v>
      </c>
      <c r="AH400">
        <v>59</v>
      </c>
      <c r="AI400">
        <v>62</v>
      </c>
      <c r="AJ400">
        <v>0</v>
      </c>
      <c r="AK400">
        <v>19</v>
      </c>
      <c r="AL400" t="s">
        <v>90</v>
      </c>
      <c r="AM400" t="s">
        <v>91</v>
      </c>
      <c r="AN400" t="s">
        <v>92</v>
      </c>
      <c r="AO400" t="s">
        <v>5839</v>
      </c>
      <c r="AP400" t="s">
        <v>5840</v>
      </c>
      <c r="AQ400" t="s">
        <v>74</v>
      </c>
      <c r="AR400" t="s">
        <v>5841</v>
      </c>
      <c r="AS400" t="s">
        <v>5842</v>
      </c>
      <c r="AT400" t="s">
        <v>5843</v>
      </c>
      <c r="AU400">
        <v>2002</v>
      </c>
      <c r="AV400">
        <v>182</v>
      </c>
      <c r="AW400" t="s">
        <v>5844</v>
      </c>
      <c r="AX400" t="s">
        <v>74</v>
      </c>
      <c r="AY400" t="s">
        <v>74</v>
      </c>
      <c r="AZ400" t="s">
        <v>74</v>
      </c>
      <c r="BA400" t="s">
        <v>74</v>
      </c>
      <c r="BB400">
        <v>663</v>
      </c>
      <c r="BC400">
        <v>695</v>
      </c>
      <c r="BD400" t="s">
        <v>5845</v>
      </c>
      <c r="BE400" t="s">
        <v>5846</v>
      </c>
      <c r="BF400" t="str">
        <f>HYPERLINK("http://dx.doi.org/10.1016/S0009-2541(01)00347-3","http://dx.doi.org/10.1016/S0009-2541(01)00347-3")</f>
        <v>http://dx.doi.org/10.1016/S0009-2541(01)00347-3</v>
      </c>
      <c r="BG400" t="s">
        <v>74</v>
      </c>
      <c r="BH400" t="s">
        <v>74</v>
      </c>
      <c r="BI400">
        <v>33</v>
      </c>
      <c r="BJ400" t="s">
        <v>556</v>
      </c>
      <c r="BK400" t="s">
        <v>170</v>
      </c>
      <c r="BL400" t="s">
        <v>556</v>
      </c>
      <c r="BM400" t="s">
        <v>5847</v>
      </c>
      <c r="BN400" t="s">
        <v>74</v>
      </c>
      <c r="BO400" t="s">
        <v>74</v>
      </c>
      <c r="BP400" t="s">
        <v>74</v>
      </c>
      <c r="BQ400" t="s">
        <v>74</v>
      </c>
      <c r="BR400" t="s">
        <v>107</v>
      </c>
      <c r="BS400" t="s">
        <v>5848</v>
      </c>
      <c r="BT400" t="str">
        <f>HYPERLINK("https%3A%2F%2Fwww.webofscience.com%2Fwos%2Fwoscc%2Ffull-record%2FWOS:000174188000035","View Full Record in Web of Science")</f>
        <v>View Full Record in Web of Science</v>
      </c>
    </row>
    <row r="401" spans="1:72" x14ac:dyDescent="0.15">
      <c r="A401" t="s">
        <v>72</v>
      </c>
      <c r="B401" t="s">
        <v>5849</v>
      </c>
      <c r="C401" t="s">
        <v>74</v>
      </c>
      <c r="D401" t="s">
        <v>74</v>
      </c>
      <c r="E401" t="s">
        <v>74</v>
      </c>
      <c r="F401" t="s">
        <v>5849</v>
      </c>
      <c r="G401" t="s">
        <v>74</v>
      </c>
      <c r="H401" t="s">
        <v>74</v>
      </c>
      <c r="I401" t="s">
        <v>5850</v>
      </c>
      <c r="J401" t="s">
        <v>5851</v>
      </c>
      <c r="K401" t="s">
        <v>74</v>
      </c>
      <c r="L401" t="s">
        <v>74</v>
      </c>
      <c r="M401" t="s">
        <v>77</v>
      </c>
      <c r="N401" t="s">
        <v>153</v>
      </c>
      <c r="O401" t="s">
        <v>74</v>
      </c>
      <c r="P401" t="s">
        <v>74</v>
      </c>
      <c r="Q401" t="s">
        <v>74</v>
      </c>
      <c r="R401" t="s">
        <v>74</v>
      </c>
      <c r="S401" t="s">
        <v>74</v>
      </c>
      <c r="T401" t="s">
        <v>5852</v>
      </c>
      <c r="U401" t="s">
        <v>5853</v>
      </c>
      <c r="V401" t="s">
        <v>5854</v>
      </c>
      <c r="W401" t="s">
        <v>5855</v>
      </c>
      <c r="X401" t="s">
        <v>5856</v>
      </c>
      <c r="Y401" t="s">
        <v>5857</v>
      </c>
      <c r="Z401" t="s">
        <v>74</v>
      </c>
      <c r="AA401" t="s">
        <v>5858</v>
      </c>
      <c r="AB401" t="s">
        <v>5859</v>
      </c>
      <c r="AC401" t="s">
        <v>74</v>
      </c>
      <c r="AD401" t="s">
        <v>74</v>
      </c>
      <c r="AE401" t="s">
        <v>74</v>
      </c>
      <c r="AF401" t="s">
        <v>74</v>
      </c>
      <c r="AG401">
        <v>89</v>
      </c>
      <c r="AH401">
        <v>28</v>
      </c>
      <c r="AI401">
        <v>29</v>
      </c>
      <c r="AJ401">
        <v>1</v>
      </c>
      <c r="AK401">
        <v>12</v>
      </c>
      <c r="AL401" t="s">
        <v>132</v>
      </c>
      <c r="AM401" t="s">
        <v>91</v>
      </c>
      <c r="AN401" t="s">
        <v>133</v>
      </c>
      <c r="AO401" t="s">
        <v>5860</v>
      </c>
      <c r="AP401" t="s">
        <v>74</v>
      </c>
      <c r="AQ401" t="s">
        <v>74</v>
      </c>
      <c r="AR401" t="s">
        <v>5861</v>
      </c>
      <c r="AS401" t="s">
        <v>5862</v>
      </c>
      <c r="AT401" t="s">
        <v>5843</v>
      </c>
      <c r="AU401">
        <v>2002</v>
      </c>
      <c r="AV401">
        <v>148</v>
      </c>
      <c r="AW401">
        <v>2</v>
      </c>
      <c r="AX401" t="s">
        <v>74</v>
      </c>
      <c r="AY401" t="s">
        <v>74</v>
      </c>
      <c r="AZ401" t="s">
        <v>74</v>
      </c>
      <c r="BA401" t="s">
        <v>74</v>
      </c>
      <c r="BB401">
        <v>111</v>
      </c>
      <c r="BC401">
        <v>131</v>
      </c>
      <c r="BD401" t="s">
        <v>5863</v>
      </c>
      <c r="BE401" t="s">
        <v>5864</v>
      </c>
      <c r="BF401" t="str">
        <f>HYPERLINK("http://dx.doi.org/10.1016/S0304-3800(01)00425-2","http://dx.doi.org/10.1016/S0304-3800(01)00425-2")</f>
        <v>http://dx.doi.org/10.1016/S0304-3800(01)00425-2</v>
      </c>
      <c r="BG401" t="s">
        <v>74</v>
      </c>
      <c r="BH401" t="s">
        <v>74</v>
      </c>
      <c r="BI401">
        <v>21</v>
      </c>
      <c r="BJ401" t="s">
        <v>3878</v>
      </c>
      <c r="BK401" t="s">
        <v>170</v>
      </c>
      <c r="BL401" t="s">
        <v>1020</v>
      </c>
      <c r="BM401" t="s">
        <v>5865</v>
      </c>
      <c r="BN401" t="s">
        <v>74</v>
      </c>
      <c r="BO401" t="s">
        <v>74</v>
      </c>
      <c r="BP401" t="s">
        <v>74</v>
      </c>
      <c r="BQ401" t="s">
        <v>74</v>
      </c>
      <c r="BR401" t="s">
        <v>107</v>
      </c>
      <c r="BS401" t="s">
        <v>5866</v>
      </c>
      <c r="BT401" t="str">
        <f>HYPERLINK("https%3A%2F%2Fwww.webofscience.com%2Fwos%2Fwoscc%2Ffull-record%2FWOS:000174746200001","View Full Record in Web of Science")</f>
        <v>View Full Record in Web of Science</v>
      </c>
    </row>
    <row r="402" spans="1:72" x14ac:dyDescent="0.15">
      <c r="A402" t="s">
        <v>72</v>
      </c>
      <c r="B402" t="s">
        <v>5867</v>
      </c>
      <c r="C402" t="s">
        <v>74</v>
      </c>
      <c r="D402" t="s">
        <v>74</v>
      </c>
      <c r="E402" t="s">
        <v>74</v>
      </c>
      <c r="F402" t="s">
        <v>5867</v>
      </c>
      <c r="G402" t="s">
        <v>74</v>
      </c>
      <c r="H402" t="s">
        <v>74</v>
      </c>
      <c r="I402" t="s">
        <v>5868</v>
      </c>
      <c r="J402" t="s">
        <v>5869</v>
      </c>
      <c r="K402" t="s">
        <v>74</v>
      </c>
      <c r="L402" t="s">
        <v>74</v>
      </c>
      <c r="M402" t="s">
        <v>77</v>
      </c>
      <c r="N402" t="s">
        <v>153</v>
      </c>
      <c r="O402" t="s">
        <v>74</v>
      </c>
      <c r="P402" t="s">
        <v>74</v>
      </c>
      <c r="Q402" t="s">
        <v>74</v>
      </c>
      <c r="R402" t="s">
        <v>74</v>
      </c>
      <c r="S402" t="s">
        <v>74</v>
      </c>
      <c r="T402" t="s">
        <v>74</v>
      </c>
      <c r="U402" t="s">
        <v>5870</v>
      </c>
      <c r="V402" t="s">
        <v>5871</v>
      </c>
      <c r="W402" t="s">
        <v>5872</v>
      </c>
      <c r="X402" t="s">
        <v>5873</v>
      </c>
      <c r="Y402" t="s">
        <v>5874</v>
      </c>
      <c r="Z402" t="s">
        <v>5875</v>
      </c>
      <c r="AA402" t="s">
        <v>74</v>
      </c>
      <c r="AB402" t="s">
        <v>74</v>
      </c>
      <c r="AC402" t="s">
        <v>74</v>
      </c>
      <c r="AD402" t="s">
        <v>74</v>
      </c>
      <c r="AE402" t="s">
        <v>74</v>
      </c>
      <c r="AF402" t="s">
        <v>74</v>
      </c>
      <c r="AG402">
        <v>31</v>
      </c>
      <c r="AH402">
        <v>4</v>
      </c>
      <c r="AI402">
        <v>5</v>
      </c>
      <c r="AJ402">
        <v>0</v>
      </c>
      <c r="AK402">
        <v>3</v>
      </c>
      <c r="AL402" t="s">
        <v>4457</v>
      </c>
      <c r="AM402" t="s">
        <v>395</v>
      </c>
      <c r="AN402" t="s">
        <v>5876</v>
      </c>
      <c r="AO402" t="s">
        <v>5877</v>
      </c>
      <c r="AP402" t="s">
        <v>74</v>
      </c>
      <c r="AQ402" t="s">
        <v>74</v>
      </c>
      <c r="AR402" t="s">
        <v>5878</v>
      </c>
      <c r="AS402" t="s">
        <v>5879</v>
      </c>
      <c r="AT402" t="s">
        <v>5843</v>
      </c>
      <c r="AU402">
        <v>2002</v>
      </c>
      <c r="AV402">
        <v>292</v>
      </c>
      <c r="AW402">
        <v>3</v>
      </c>
      <c r="AX402" t="s">
        <v>74</v>
      </c>
      <c r="AY402" t="s">
        <v>74</v>
      </c>
      <c r="AZ402" t="s">
        <v>74</v>
      </c>
      <c r="BA402" t="s">
        <v>74</v>
      </c>
      <c r="BB402">
        <v>231</v>
      </c>
      <c r="BC402">
        <v>240</v>
      </c>
      <c r="BD402" t="s">
        <v>74</v>
      </c>
      <c r="BE402" t="s">
        <v>5880</v>
      </c>
      <c r="BF402" t="str">
        <f>HYPERLINK("http://dx.doi.org/10.1002/jez.10041","http://dx.doi.org/10.1002/jez.10041")</f>
        <v>http://dx.doi.org/10.1002/jez.10041</v>
      </c>
      <c r="BG402" t="s">
        <v>74</v>
      </c>
      <c r="BH402" t="s">
        <v>74</v>
      </c>
      <c r="BI402">
        <v>10</v>
      </c>
      <c r="BJ402" t="s">
        <v>1001</v>
      </c>
      <c r="BK402" t="s">
        <v>170</v>
      </c>
      <c r="BL402" t="s">
        <v>1001</v>
      </c>
      <c r="BM402" t="s">
        <v>5881</v>
      </c>
      <c r="BN402">
        <v>11857457</v>
      </c>
      <c r="BO402" t="s">
        <v>74</v>
      </c>
      <c r="BP402" t="s">
        <v>74</v>
      </c>
      <c r="BQ402" t="s">
        <v>74</v>
      </c>
      <c r="BR402" t="s">
        <v>107</v>
      </c>
      <c r="BS402" t="s">
        <v>5882</v>
      </c>
      <c r="BT402" t="str">
        <f>HYPERLINK("https%3A%2F%2Fwww.webofscience.com%2Fwos%2Fwoscc%2Ffull-record%2FWOS:000173769000003","View Full Record in Web of Science")</f>
        <v>View Full Record in Web of Science</v>
      </c>
    </row>
    <row r="403" spans="1:72" x14ac:dyDescent="0.15">
      <c r="A403" t="s">
        <v>72</v>
      </c>
      <c r="B403" t="s">
        <v>5883</v>
      </c>
      <c r="C403" t="s">
        <v>74</v>
      </c>
      <c r="D403" t="s">
        <v>74</v>
      </c>
      <c r="E403" t="s">
        <v>74</v>
      </c>
      <c r="F403" t="s">
        <v>5883</v>
      </c>
      <c r="G403" t="s">
        <v>74</v>
      </c>
      <c r="H403" t="s">
        <v>74</v>
      </c>
      <c r="I403" t="s">
        <v>5884</v>
      </c>
      <c r="J403" t="s">
        <v>494</v>
      </c>
      <c r="K403" t="s">
        <v>74</v>
      </c>
      <c r="L403" t="s">
        <v>74</v>
      </c>
      <c r="M403" t="s">
        <v>77</v>
      </c>
      <c r="N403" t="s">
        <v>153</v>
      </c>
      <c r="O403" t="s">
        <v>74</v>
      </c>
      <c r="P403" t="s">
        <v>74</v>
      </c>
      <c r="Q403" t="s">
        <v>74</v>
      </c>
      <c r="R403" t="s">
        <v>74</v>
      </c>
      <c r="S403" t="s">
        <v>74</v>
      </c>
      <c r="T403" t="s">
        <v>5885</v>
      </c>
      <c r="U403" t="s">
        <v>5886</v>
      </c>
      <c r="V403" t="s">
        <v>5887</v>
      </c>
      <c r="W403" t="s">
        <v>5888</v>
      </c>
      <c r="X403" t="s">
        <v>5889</v>
      </c>
      <c r="Y403" t="s">
        <v>5890</v>
      </c>
      <c r="Z403" t="s">
        <v>5891</v>
      </c>
      <c r="AA403" t="s">
        <v>74</v>
      </c>
      <c r="AB403" t="s">
        <v>5892</v>
      </c>
      <c r="AC403" t="s">
        <v>74</v>
      </c>
      <c r="AD403" t="s">
        <v>74</v>
      </c>
      <c r="AE403" t="s">
        <v>74</v>
      </c>
      <c r="AF403" t="s">
        <v>74</v>
      </c>
      <c r="AG403">
        <v>36</v>
      </c>
      <c r="AH403">
        <v>14</v>
      </c>
      <c r="AI403">
        <v>15</v>
      </c>
      <c r="AJ403">
        <v>0</v>
      </c>
      <c r="AK403">
        <v>6</v>
      </c>
      <c r="AL403" t="s">
        <v>90</v>
      </c>
      <c r="AM403" t="s">
        <v>91</v>
      </c>
      <c r="AN403" t="s">
        <v>92</v>
      </c>
      <c r="AO403" t="s">
        <v>503</v>
      </c>
      <c r="AP403" t="s">
        <v>5893</v>
      </c>
      <c r="AQ403" t="s">
        <v>74</v>
      </c>
      <c r="AR403" t="s">
        <v>504</v>
      </c>
      <c r="AS403" t="s">
        <v>505</v>
      </c>
      <c r="AT403" t="s">
        <v>5843</v>
      </c>
      <c r="AU403">
        <v>2002</v>
      </c>
      <c r="AV403">
        <v>180</v>
      </c>
      <c r="AW403" t="s">
        <v>1834</v>
      </c>
      <c r="AX403" t="s">
        <v>74</v>
      </c>
      <c r="AY403" t="s">
        <v>74</v>
      </c>
      <c r="AZ403" t="s">
        <v>74</v>
      </c>
      <c r="BA403" t="s">
        <v>74</v>
      </c>
      <c r="BB403">
        <v>151</v>
      </c>
      <c r="BC403">
        <v>161</v>
      </c>
      <c r="BD403" t="s">
        <v>5894</v>
      </c>
      <c r="BE403" t="s">
        <v>5895</v>
      </c>
      <c r="BF403" t="str">
        <f>HYPERLINK("http://dx.doi.org/10.1016/S0025-3227(01)00211-0","http://dx.doi.org/10.1016/S0025-3227(01)00211-0")</f>
        <v>http://dx.doi.org/10.1016/S0025-3227(01)00211-0</v>
      </c>
      <c r="BG403" t="s">
        <v>74</v>
      </c>
      <c r="BH403" t="s">
        <v>74</v>
      </c>
      <c r="BI403">
        <v>11</v>
      </c>
      <c r="BJ403" t="s">
        <v>508</v>
      </c>
      <c r="BK403" t="s">
        <v>170</v>
      </c>
      <c r="BL403" t="s">
        <v>509</v>
      </c>
      <c r="BM403" t="s">
        <v>5896</v>
      </c>
      <c r="BN403" t="s">
        <v>74</v>
      </c>
      <c r="BO403" t="s">
        <v>74</v>
      </c>
      <c r="BP403" t="s">
        <v>74</v>
      </c>
      <c r="BQ403" t="s">
        <v>74</v>
      </c>
      <c r="BR403" t="s">
        <v>107</v>
      </c>
      <c r="BS403" t="s">
        <v>5897</v>
      </c>
      <c r="BT403" t="str">
        <f>HYPERLINK("https%3A%2F%2Fwww.webofscience.com%2Fwos%2Fwoscc%2Ffull-record%2FWOS:000174534900010","View Full Record in Web of Science")</f>
        <v>View Full Record in Web of Science</v>
      </c>
    </row>
    <row r="404" spans="1:72" x14ac:dyDescent="0.15">
      <c r="A404" t="s">
        <v>72</v>
      </c>
      <c r="B404" t="s">
        <v>5898</v>
      </c>
      <c r="C404" t="s">
        <v>74</v>
      </c>
      <c r="D404" t="s">
        <v>74</v>
      </c>
      <c r="E404" t="s">
        <v>74</v>
      </c>
      <c r="F404" t="s">
        <v>5898</v>
      </c>
      <c r="G404" t="s">
        <v>74</v>
      </c>
      <c r="H404" t="s">
        <v>74</v>
      </c>
      <c r="I404" t="s">
        <v>5899</v>
      </c>
      <c r="J404" t="s">
        <v>494</v>
      </c>
      <c r="K404" t="s">
        <v>74</v>
      </c>
      <c r="L404" t="s">
        <v>74</v>
      </c>
      <c r="M404" t="s">
        <v>77</v>
      </c>
      <c r="N404" t="s">
        <v>153</v>
      </c>
      <c r="O404" t="s">
        <v>74</v>
      </c>
      <c r="P404" t="s">
        <v>74</v>
      </c>
      <c r="Q404" t="s">
        <v>74</v>
      </c>
      <c r="R404" t="s">
        <v>74</v>
      </c>
      <c r="S404" t="s">
        <v>74</v>
      </c>
      <c r="T404" t="s">
        <v>5900</v>
      </c>
      <c r="U404" t="s">
        <v>5901</v>
      </c>
      <c r="V404" t="s">
        <v>5902</v>
      </c>
      <c r="W404" t="s">
        <v>5903</v>
      </c>
      <c r="X404" t="s">
        <v>5904</v>
      </c>
      <c r="Y404" t="s">
        <v>5905</v>
      </c>
      <c r="Z404" t="s">
        <v>74</v>
      </c>
      <c r="AA404" t="s">
        <v>5906</v>
      </c>
      <c r="AB404" t="s">
        <v>5907</v>
      </c>
      <c r="AC404" t="s">
        <v>74</v>
      </c>
      <c r="AD404" t="s">
        <v>74</v>
      </c>
      <c r="AE404" t="s">
        <v>74</v>
      </c>
      <c r="AF404" t="s">
        <v>74</v>
      </c>
      <c r="AG404">
        <v>56</v>
      </c>
      <c r="AH404">
        <v>22</v>
      </c>
      <c r="AI404">
        <v>24</v>
      </c>
      <c r="AJ404">
        <v>0</v>
      </c>
      <c r="AK404">
        <v>5</v>
      </c>
      <c r="AL404" t="s">
        <v>132</v>
      </c>
      <c r="AM404" t="s">
        <v>91</v>
      </c>
      <c r="AN404" t="s">
        <v>133</v>
      </c>
      <c r="AO404" t="s">
        <v>503</v>
      </c>
      <c r="AP404" t="s">
        <v>74</v>
      </c>
      <c r="AQ404" t="s">
        <v>74</v>
      </c>
      <c r="AR404" t="s">
        <v>504</v>
      </c>
      <c r="AS404" t="s">
        <v>505</v>
      </c>
      <c r="AT404" t="s">
        <v>5843</v>
      </c>
      <c r="AU404">
        <v>2002</v>
      </c>
      <c r="AV404">
        <v>180</v>
      </c>
      <c r="AW404" t="s">
        <v>1834</v>
      </c>
      <c r="AX404" t="s">
        <v>74</v>
      </c>
      <c r="AY404" t="s">
        <v>74</v>
      </c>
      <c r="AZ404" t="s">
        <v>74</v>
      </c>
      <c r="BA404" t="s">
        <v>74</v>
      </c>
      <c r="BB404">
        <v>163</v>
      </c>
      <c r="BC404">
        <v>181</v>
      </c>
      <c r="BD404" t="s">
        <v>5908</v>
      </c>
      <c r="BE404" t="s">
        <v>5909</v>
      </c>
      <c r="BF404" t="str">
        <f>HYPERLINK("http://dx.doi.org/10.1016/S0025-3227(01)00212-2","http://dx.doi.org/10.1016/S0025-3227(01)00212-2")</f>
        <v>http://dx.doi.org/10.1016/S0025-3227(01)00212-2</v>
      </c>
      <c r="BG404" t="s">
        <v>74</v>
      </c>
      <c r="BH404" t="s">
        <v>74</v>
      </c>
      <c r="BI404">
        <v>19</v>
      </c>
      <c r="BJ404" t="s">
        <v>508</v>
      </c>
      <c r="BK404" t="s">
        <v>170</v>
      </c>
      <c r="BL404" t="s">
        <v>509</v>
      </c>
      <c r="BM404" t="s">
        <v>5896</v>
      </c>
      <c r="BN404" t="s">
        <v>74</v>
      </c>
      <c r="BO404" t="s">
        <v>74</v>
      </c>
      <c r="BP404" t="s">
        <v>74</v>
      </c>
      <c r="BQ404" t="s">
        <v>74</v>
      </c>
      <c r="BR404" t="s">
        <v>107</v>
      </c>
      <c r="BS404" t="s">
        <v>5910</v>
      </c>
      <c r="BT404" t="str">
        <f>HYPERLINK("https%3A%2F%2Fwww.webofscience.com%2Fwos%2Fwoscc%2Ffull-record%2FWOS:000174534900011","View Full Record in Web of Science")</f>
        <v>View Full Record in Web of Science</v>
      </c>
    </row>
    <row r="405" spans="1:72" x14ac:dyDescent="0.15">
      <c r="A405" t="s">
        <v>72</v>
      </c>
      <c r="B405" t="s">
        <v>5911</v>
      </c>
      <c r="C405" t="s">
        <v>74</v>
      </c>
      <c r="D405" t="s">
        <v>74</v>
      </c>
      <c r="E405" t="s">
        <v>74</v>
      </c>
      <c r="F405" t="s">
        <v>5911</v>
      </c>
      <c r="G405" t="s">
        <v>74</v>
      </c>
      <c r="H405" t="s">
        <v>74</v>
      </c>
      <c r="I405" t="s">
        <v>5912</v>
      </c>
      <c r="J405" t="s">
        <v>5913</v>
      </c>
      <c r="K405" t="s">
        <v>74</v>
      </c>
      <c r="L405" t="s">
        <v>74</v>
      </c>
      <c r="M405" t="s">
        <v>77</v>
      </c>
      <c r="N405" t="s">
        <v>153</v>
      </c>
      <c r="O405" t="s">
        <v>74</v>
      </c>
      <c r="P405" t="s">
        <v>74</v>
      </c>
      <c r="Q405" t="s">
        <v>74</v>
      </c>
      <c r="R405" t="s">
        <v>74</v>
      </c>
      <c r="S405" t="s">
        <v>74</v>
      </c>
      <c r="T405" t="s">
        <v>5914</v>
      </c>
      <c r="U405" t="s">
        <v>5915</v>
      </c>
      <c r="V405" t="s">
        <v>5916</v>
      </c>
      <c r="W405" t="s">
        <v>5917</v>
      </c>
      <c r="X405" t="s">
        <v>5918</v>
      </c>
      <c r="Y405" t="s">
        <v>5919</v>
      </c>
      <c r="Z405" t="s">
        <v>5920</v>
      </c>
      <c r="AA405" t="s">
        <v>5921</v>
      </c>
      <c r="AB405" t="s">
        <v>5922</v>
      </c>
      <c r="AC405" t="s">
        <v>5923</v>
      </c>
      <c r="AD405" t="s">
        <v>5924</v>
      </c>
      <c r="AE405" t="s">
        <v>74</v>
      </c>
      <c r="AF405" t="s">
        <v>74</v>
      </c>
      <c r="AG405">
        <v>40</v>
      </c>
      <c r="AH405">
        <v>20</v>
      </c>
      <c r="AI405">
        <v>22</v>
      </c>
      <c r="AJ405">
        <v>0</v>
      </c>
      <c r="AK405">
        <v>6</v>
      </c>
      <c r="AL405" t="s">
        <v>394</v>
      </c>
      <c r="AM405" t="s">
        <v>395</v>
      </c>
      <c r="AN405" t="s">
        <v>396</v>
      </c>
      <c r="AO405" t="s">
        <v>4459</v>
      </c>
      <c r="AP405" t="s">
        <v>5925</v>
      </c>
      <c r="AQ405" t="s">
        <v>74</v>
      </c>
      <c r="AR405" t="s">
        <v>4460</v>
      </c>
      <c r="AS405" t="s">
        <v>4461</v>
      </c>
      <c r="AT405" t="s">
        <v>5843</v>
      </c>
      <c r="AU405">
        <v>2002</v>
      </c>
      <c r="AV405">
        <v>46</v>
      </c>
      <c r="AW405">
        <v>3</v>
      </c>
      <c r="AX405" t="s">
        <v>74</v>
      </c>
      <c r="AY405" t="s">
        <v>74</v>
      </c>
      <c r="AZ405" t="s">
        <v>74</v>
      </c>
      <c r="BA405" t="s">
        <v>74</v>
      </c>
      <c r="BB405">
        <v>259</v>
      </c>
      <c r="BC405">
        <v>267</v>
      </c>
      <c r="BD405" t="s">
        <v>74</v>
      </c>
      <c r="BE405" t="s">
        <v>5926</v>
      </c>
      <c r="BF405" t="str">
        <f>HYPERLINK("http://dx.doi.org/10.1002/prot.10050","http://dx.doi.org/10.1002/prot.10050")</f>
        <v>http://dx.doi.org/10.1002/prot.10050</v>
      </c>
      <c r="BG405" t="s">
        <v>74</v>
      </c>
      <c r="BH405" t="s">
        <v>74</v>
      </c>
      <c r="BI405">
        <v>9</v>
      </c>
      <c r="BJ405" t="s">
        <v>3493</v>
      </c>
      <c r="BK405" t="s">
        <v>170</v>
      </c>
      <c r="BL405" t="s">
        <v>3493</v>
      </c>
      <c r="BM405" t="s">
        <v>5927</v>
      </c>
      <c r="BN405">
        <v>11835501</v>
      </c>
      <c r="BO405" t="s">
        <v>74</v>
      </c>
      <c r="BP405" t="s">
        <v>74</v>
      </c>
      <c r="BQ405" t="s">
        <v>74</v>
      </c>
      <c r="BR405" t="s">
        <v>107</v>
      </c>
      <c r="BS405" t="s">
        <v>5928</v>
      </c>
      <c r="BT405" t="str">
        <f>HYPERLINK("https%3A%2F%2Fwww.webofscience.com%2Fwos%2Fwoscc%2Ffull-record%2FWOS:000173648400003","View Full Record in Web of Science")</f>
        <v>View Full Record in Web of Science</v>
      </c>
    </row>
    <row r="406" spans="1:72" x14ac:dyDescent="0.15">
      <c r="A406" t="s">
        <v>72</v>
      </c>
      <c r="B406" t="s">
        <v>5929</v>
      </c>
      <c r="C406" t="s">
        <v>74</v>
      </c>
      <c r="D406" t="s">
        <v>74</v>
      </c>
      <c r="E406" t="s">
        <v>74</v>
      </c>
      <c r="F406" t="s">
        <v>5929</v>
      </c>
      <c r="G406" t="s">
        <v>74</v>
      </c>
      <c r="H406" t="s">
        <v>74</v>
      </c>
      <c r="I406" t="s">
        <v>5930</v>
      </c>
      <c r="J406" t="s">
        <v>646</v>
      </c>
      <c r="K406" t="s">
        <v>74</v>
      </c>
      <c r="L406" t="s">
        <v>74</v>
      </c>
      <c r="M406" t="s">
        <v>77</v>
      </c>
      <c r="N406" t="s">
        <v>153</v>
      </c>
      <c r="O406" t="s">
        <v>74</v>
      </c>
      <c r="P406" t="s">
        <v>74</v>
      </c>
      <c r="Q406" t="s">
        <v>74</v>
      </c>
      <c r="R406" t="s">
        <v>74</v>
      </c>
      <c r="S406" t="s">
        <v>74</v>
      </c>
      <c r="T406" t="s">
        <v>74</v>
      </c>
      <c r="U406" t="s">
        <v>5931</v>
      </c>
      <c r="V406" t="s">
        <v>5932</v>
      </c>
      <c r="W406" t="s">
        <v>5933</v>
      </c>
      <c r="X406" t="s">
        <v>5934</v>
      </c>
      <c r="Y406" t="s">
        <v>5935</v>
      </c>
      <c r="Z406" t="s">
        <v>5936</v>
      </c>
      <c r="AA406" t="s">
        <v>5937</v>
      </c>
      <c r="AB406" t="s">
        <v>5938</v>
      </c>
      <c r="AC406" t="s">
        <v>5939</v>
      </c>
      <c r="AD406" t="s">
        <v>5940</v>
      </c>
      <c r="AE406" t="s">
        <v>74</v>
      </c>
      <c r="AF406" t="s">
        <v>74</v>
      </c>
      <c r="AG406">
        <v>27</v>
      </c>
      <c r="AH406">
        <v>506</v>
      </c>
      <c r="AI406">
        <v>582</v>
      </c>
      <c r="AJ406">
        <v>9</v>
      </c>
      <c r="AK406">
        <v>254</v>
      </c>
      <c r="AL406" t="s">
        <v>655</v>
      </c>
      <c r="AM406" t="s">
        <v>162</v>
      </c>
      <c r="AN406" t="s">
        <v>656</v>
      </c>
      <c r="AO406" t="s">
        <v>657</v>
      </c>
      <c r="AP406" t="s">
        <v>658</v>
      </c>
      <c r="AQ406" t="s">
        <v>74</v>
      </c>
      <c r="AR406" t="s">
        <v>646</v>
      </c>
      <c r="AS406" t="s">
        <v>659</v>
      </c>
      <c r="AT406" t="s">
        <v>5843</v>
      </c>
      <c r="AU406">
        <v>2002</v>
      </c>
      <c r="AV406">
        <v>295</v>
      </c>
      <c r="AW406">
        <v>5558</v>
      </c>
      <c r="AX406" t="s">
        <v>74</v>
      </c>
      <c r="AY406" t="s">
        <v>74</v>
      </c>
      <c r="AZ406" t="s">
        <v>74</v>
      </c>
      <c r="BA406" t="s">
        <v>74</v>
      </c>
      <c r="BB406">
        <v>1275</v>
      </c>
      <c r="BC406">
        <v>1277</v>
      </c>
      <c r="BD406" t="s">
        <v>74</v>
      </c>
      <c r="BE406" t="s">
        <v>5941</v>
      </c>
      <c r="BF406" t="str">
        <f>HYPERLINK("http://dx.doi.org/10.1126/science.1065863","http://dx.doi.org/10.1126/science.1065863")</f>
        <v>http://dx.doi.org/10.1126/science.1065863</v>
      </c>
      <c r="BG406" t="s">
        <v>74</v>
      </c>
      <c r="BH406" t="s">
        <v>74</v>
      </c>
      <c r="BI406">
        <v>3</v>
      </c>
      <c r="BJ406" t="s">
        <v>662</v>
      </c>
      <c r="BK406" t="s">
        <v>170</v>
      </c>
      <c r="BL406" t="s">
        <v>663</v>
      </c>
      <c r="BM406" t="s">
        <v>5942</v>
      </c>
      <c r="BN406">
        <v>11847337</v>
      </c>
      <c r="BO406" t="s">
        <v>74</v>
      </c>
      <c r="BP406" t="s">
        <v>74</v>
      </c>
      <c r="BQ406" t="s">
        <v>74</v>
      </c>
      <c r="BR406" t="s">
        <v>107</v>
      </c>
      <c r="BS406" t="s">
        <v>5943</v>
      </c>
      <c r="BT406" t="str">
        <f>HYPERLINK("https%3A%2F%2Fwww.webofscience.com%2Fwos%2Fwoscc%2Ffull-record%2FWOS:000173926000038","View Full Record in Web of Science")</f>
        <v>View Full Record in Web of Science</v>
      </c>
    </row>
    <row r="407" spans="1:72" x14ac:dyDescent="0.15">
      <c r="A407" t="s">
        <v>72</v>
      </c>
      <c r="B407" t="s">
        <v>5944</v>
      </c>
      <c r="C407" t="s">
        <v>74</v>
      </c>
      <c r="D407" t="s">
        <v>74</v>
      </c>
      <c r="E407" t="s">
        <v>74</v>
      </c>
      <c r="F407" t="s">
        <v>5944</v>
      </c>
      <c r="G407" t="s">
        <v>74</v>
      </c>
      <c r="H407" t="s">
        <v>74</v>
      </c>
      <c r="I407" t="s">
        <v>5945</v>
      </c>
      <c r="J407" t="s">
        <v>1544</v>
      </c>
      <c r="K407" t="s">
        <v>74</v>
      </c>
      <c r="L407" t="s">
        <v>74</v>
      </c>
      <c r="M407" t="s">
        <v>77</v>
      </c>
      <c r="N407" t="s">
        <v>153</v>
      </c>
      <c r="O407" t="s">
        <v>74</v>
      </c>
      <c r="P407" t="s">
        <v>74</v>
      </c>
      <c r="Q407" t="s">
        <v>74</v>
      </c>
      <c r="R407" t="s">
        <v>74</v>
      </c>
      <c r="S407" t="s">
        <v>74</v>
      </c>
      <c r="T407" t="s">
        <v>5946</v>
      </c>
      <c r="U407" t="s">
        <v>5947</v>
      </c>
      <c r="V407" t="s">
        <v>5948</v>
      </c>
      <c r="W407" t="s">
        <v>5949</v>
      </c>
      <c r="X407" t="s">
        <v>5950</v>
      </c>
      <c r="Y407" t="s">
        <v>5951</v>
      </c>
      <c r="Z407" t="s">
        <v>5952</v>
      </c>
      <c r="AA407" t="s">
        <v>5953</v>
      </c>
      <c r="AB407" t="s">
        <v>5954</v>
      </c>
      <c r="AC407" t="s">
        <v>74</v>
      </c>
      <c r="AD407" t="s">
        <v>74</v>
      </c>
      <c r="AE407" t="s">
        <v>74</v>
      </c>
      <c r="AF407" t="s">
        <v>74</v>
      </c>
      <c r="AG407">
        <v>30</v>
      </c>
      <c r="AH407">
        <v>12</v>
      </c>
      <c r="AI407">
        <v>13</v>
      </c>
      <c r="AJ407">
        <v>0</v>
      </c>
      <c r="AK407">
        <v>9</v>
      </c>
      <c r="AL407" t="s">
        <v>161</v>
      </c>
      <c r="AM407" t="s">
        <v>162</v>
      </c>
      <c r="AN407" t="s">
        <v>163</v>
      </c>
      <c r="AO407" t="s">
        <v>1554</v>
      </c>
      <c r="AP407" t="s">
        <v>1555</v>
      </c>
      <c r="AQ407" t="s">
        <v>74</v>
      </c>
      <c r="AR407" t="s">
        <v>1556</v>
      </c>
      <c r="AS407" t="s">
        <v>1557</v>
      </c>
      <c r="AT407" t="s">
        <v>5955</v>
      </c>
      <c r="AU407">
        <v>2002</v>
      </c>
      <c r="AV407">
        <v>107</v>
      </c>
      <c r="AW407" t="s">
        <v>5956</v>
      </c>
      <c r="AX407" t="s">
        <v>74</v>
      </c>
      <c r="AY407" t="s">
        <v>74</v>
      </c>
      <c r="AZ407" t="s">
        <v>74</v>
      </c>
      <c r="BA407" t="s">
        <v>74</v>
      </c>
      <c r="BB407" t="s">
        <v>74</v>
      </c>
      <c r="BC407" t="s">
        <v>74</v>
      </c>
      <c r="BD407">
        <v>2029</v>
      </c>
      <c r="BE407" t="s">
        <v>5957</v>
      </c>
      <c r="BF407" t="str">
        <f>HYPERLINK("http://dx.doi.org/10.1029/2000JB000080","http://dx.doi.org/10.1029/2000JB000080")</f>
        <v>http://dx.doi.org/10.1029/2000JB000080</v>
      </c>
      <c r="BG407" t="s">
        <v>74</v>
      </c>
      <c r="BH407" t="s">
        <v>74</v>
      </c>
      <c r="BI407">
        <v>14</v>
      </c>
      <c r="BJ407" t="s">
        <v>556</v>
      </c>
      <c r="BK407" t="s">
        <v>170</v>
      </c>
      <c r="BL407" t="s">
        <v>556</v>
      </c>
      <c r="BM407" t="s">
        <v>5958</v>
      </c>
      <c r="BN407" t="s">
        <v>74</v>
      </c>
      <c r="BO407" t="s">
        <v>173</v>
      </c>
      <c r="BP407" t="s">
        <v>74</v>
      </c>
      <c r="BQ407" t="s">
        <v>74</v>
      </c>
      <c r="BR407" t="s">
        <v>107</v>
      </c>
      <c r="BS407" t="s">
        <v>5959</v>
      </c>
      <c r="BT407" t="str">
        <f>HYPERLINK("https%3A%2F%2Fwww.webofscience.com%2Fwos%2Fwoscc%2Ffull-record%2FWOS:000178909800015","View Full Record in Web of Science")</f>
        <v>View Full Record in Web of Science</v>
      </c>
    </row>
    <row r="408" spans="1:72" x14ac:dyDescent="0.15">
      <c r="A408" t="s">
        <v>72</v>
      </c>
      <c r="B408" t="s">
        <v>5960</v>
      </c>
      <c r="C408" t="s">
        <v>74</v>
      </c>
      <c r="D408" t="s">
        <v>74</v>
      </c>
      <c r="E408" t="s">
        <v>74</v>
      </c>
      <c r="F408" t="s">
        <v>5960</v>
      </c>
      <c r="G408" t="s">
        <v>74</v>
      </c>
      <c r="H408" t="s">
        <v>74</v>
      </c>
      <c r="I408" t="s">
        <v>5961</v>
      </c>
      <c r="J408" t="s">
        <v>5962</v>
      </c>
      <c r="K408" t="s">
        <v>74</v>
      </c>
      <c r="L408" t="s">
        <v>74</v>
      </c>
      <c r="M408" t="s">
        <v>77</v>
      </c>
      <c r="N408" t="s">
        <v>153</v>
      </c>
      <c r="O408" t="s">
        <v>74</v>
      </c>
      <c r="P408" t="s">
        <v>74</v>
      </c>
      <c r="Q408" t="s">
        <v>74</v>
      </c>
      <c r="R408" t="s">
        <v>74</v>
      </c>
      <c r="S408" t="s">
        <v>74</v>
      </c>
      <c r="T408" t="s">
        <v>5963</v>
      </c>
      <c r="U408" t="s">
        <v>5964</v>
      </c>
      <c r="V408" t="s">
        <v>5965</v>
      </c>
      <c r="W408" t="s">
        <v>5966</v>
      </c>
      <c r="X408" t="s">
        <v>5967</v>
      </c>
      <c r="Y408" t="s">
        <v>5968</v>
      </c>
      <c r="Z408" t="s">
        <v>74</v>
      </c>
      <c r="AA408" t="s">
        <v>74</v>
      </c>
      <c r="AB408" t="s">
        <v>74</v>
      </c>
      <c r="AC408" t="s">
        <v>74</v>
      </c>
      <c r="AD408" t="s">
        <v>74</v>
      </c>
      <c r="AE408" t="s">
        <v>74</v>
      </c>
      <c r="AF408" t="s">
        <v>74</v>
      </c>
      <c r="AG408">
        <v>87</v>
      </c>
      <c r="AH408">
        <v>91</v>
      </c>
      <c r="AI408">
        <v>99</v>
      </c>
      <c r="AJ408">
        <v>0</v>
      </c>
      <c r="AK408">
        <v>11</v>
      </c>
      <c r="AL408" t="s">
        <v>5969</v>
      </c>
      <c r="AM408" t="s">
        <v>713</v>
      </c>
      <c r="AN408" t="s">
        <v>5970</v>
      </c>
      <c r="AO408" t="s">
        <v>5971</v>
      </c>
      <c r="AP408" t="s">
        <v>74</v>
      </c>
      <c r="AQ408" t="s">
        <v>74</v>
      </c>
      <c r="AR408" t="s">
        <v>5972</v>
      </c>
      <c r="AS408" t="s">
        <v>5973</v>
      </c>
      <c r="AT408" t="s">
        <v>5974</v>
      </c>
      <c r="AU408">
        <v>2002</v>
      </c>
      <c r="AV408">
        <v>41</v>
      </c>
      <c r="AW408">
        <v>1</v>
      </c>
      <c r="AX408" t="s">
        <v>74</v>
      </c>
      <c r="AY408" t="s">
        <v>74</v>
      </c>
      <c r="AZ408" t="s">
        <v>74</v>
      </c>
      <c r="BA408" t="s">
        <v>74</v>
      </c>
      <c r="BB408">
        <v>23</v>
      </c>
      <c r="BC408">
        <v>61</v>
      </c>
      <c r="BD408" t="s">
        <v>74</v>
      </c>
      <c r="BE408" t="s">
        <v>74</v>
      </c>
      <c r="BF408" t="s">
        <v>74</v>
      </c>
      <c r="BG408" t="s">
        <v>74</v>
      </c>
      <c r="BH408" t="s">
        <v>74</v>
      </c>
      <c r="BI408">
        <v>39</v>
      </c>
      <c r="BJ408" t="s">
        <v>1134</v>
      </c>
      <c r="BK408" t="s">
        <v>170</v>
      </c>
      <c r="BL408" t="s">
        <v>1134</v>
      </c>
      <c r="BM408" t="s">
        <v>5975</v>
      </c>
      <c r="BN408" t="s">
        <v>74</v>
      </c>
      <c r="BO408" t="s">
        <v>74</v>
      </c>
      <c r="BP408" t="s">
        <v>74</v>
      </c>
      <c r="BQ408" t="s">
        <v>74</v>
      </c>
      <c r="BR408" t="s">
        <v>107</v>
      </c>
      <c r="BS408" t="s">
        <v>5976</v>
      </c>
      <c r="BT408" t="str">
        <f>HYPERLINK("https%3A%2F%2Fwww.webofscience.com%2Fwos%2Fwoscc%2Ffull-record%2FWOS:000174174800004","View Full Record in Web of Science")</f>
        <v>View Full Record in Web of Science</v>
      </c>
    </row>
    <row r="409" spans="1:72" x14ac:dyDescent="0.15">
      <c r="A409" t="s">
        <v>72</v>
      </c>
      <c r="B409" t="s">
        <v>5977</v>
      </c>
      <c r="C409" t="s">
        <v>74</v>
      </c>
      <c r="D409" t="s">
        <v>74</v>
      </c>
      <c r="E409" t="s">
        <v>74</v>
      </c>
      <c r="F409" t="s">
        <v>5977</v>
      </c>
      <c r="G409" t="s">
        <v>74</v>
      </c>
      <c r="H409" t="s">
        <v>74</v>
      </c>
      <c r="I409" t="s">
        <v>5978</v>
      </c>
      <c r="J409" t="s">
        <v>3603</v>
      </c>
      <c r="K409" t="s">
        <v>74</v>
      </c>
      <c r="L409" t="s">
        <v>74</v>
      </c>
      <c r="M409" t="s">
        <v>77</v>
      </c>
      <c r="N409" t="s">
        <v>153</v>
      </c>
      <c r="O409" t="s">
        <v>74</v>
      </c>
      <c r="P409" t="s">
        <v>74</v>
      </c>
      <c r="Q409" t="s">
        <v>74</v>
      </c>
      <c r="R409" t="s">
        <v>74</v>
      </c>
      <c r="S409" t="s">
        <v>74</v>
      </c>
      <c r="T409" t="s">
        <v>5979</v>
      </c>
      <c r="U409" t="s">
        <v>5980</v>
      </c>
      <c r="V409" t="s">
        <v>5981</v>
      </c>
      <c r="W409" t="s">
        <v>5982</v>
      </c>
      <c r="X409" t="s">
        <v>5983</v>
      </c>
      <c r="Y409" t="s">
        <v>5984</v>
      </c>
      <c r="Z409" t="s">
        <v>5985</v>
      </c>
      <c r="AA409" t="s">
        <v>5986</v>
      </c>
      <c r="AB409" t="s">
        <v>5987</v>
      </c>
      <c r="AC409" t="s">
        <v>74</v>
      </c>
      <c r="AD409" t="s">
        <v>74</v>
      </c>
      <c r="AE409" t="s">
        <v>74</v>
      </c>
      <c r="AF409" t="s">
        <v>74</v>
      </c>
      <c r="AG409">
        <v>35</v>
      </c>
      <c r="AH409">
        <v>103</v>
      </c>
      <c r="AI409">
        <v>108</v>
      </c>
      <c r="AJ409">
        <v>0</v>
      </c>
      <c r="AK409">
        <v>18</v>
      </c>
      <c r="AL409" t="s">
        <v>5988</v>
      </c>
      <c r="AM409" t="s">
        <v>5989</v>
      </c>
      <c r="AN409" t="s">
        <v>5990</v>
      </c>
      <c r="AO409" t="s">
        <v>3614</v>
      </c>
      <c r="AP409" t="s">
        <v>5991</v>
      </c>
      <c r="AQ409" t="s">
        <v>74</v>
      </c>
      <c r="AR409" t="s">
        <v>3615</v>
      </c>
      <c r="AS409" t="s">
        <v>3616</v>
      </c>
      <c r="AT409" t="s">
        <v>5974</v>
      </c>
      <c r="AU409">
        <v>2002</v>
      </c>
      <c r="AV409">
        <v>20</v>
      </c>
      <c r="AW409">
        <v>2</v>
      </c>
      <c r="AX409" t="s">
        <v>74</v>
      </c>
      <c r="AY409" t="s">
        <v>74</v>
      </c>
      <c r="AZ409" t="s">
        <v>74</v>
      </c>
      <c r="BA409" t="s">
        <v>74</v>
      </c>
      <c r="BB409">
        <v>257</v>
      </c>
      <c r="BC409">
        <v>273</v>
      </c>
      <c r="BD409" t="s">
        <v>74</v>
      </c>
      <c r="BE409" t="s">
        <v>5992</v>
      </c>
      <c r="BF409" t="str">
        <f>HYPERLINK("http://dx.doi.org/10.5194/angeo-20-257-2002","http://dx.doi.org/10.5194/angeo-20-257-2002")</f>
        <v>http://dx.doi.org/10.5194/angeo-20-257-2002</v>
      </c>
      <c r="BG409" t="s">
        <v>74</v>
      </c>
      <c r="BH409" t="s">
        <v>74</v>
      </c>
      <c r="BI409">
        <v>17</v>
      </c>
      <c r="BJ409" t="s">
        <v>3618</v>
      </c>
      <c r="BK409" t="s">
        <v>170</v>
      </c>
      <c r="BL409" t="s">
        <v>3619</v>
      </c>
      <c r="BM409" t="s">
        <v>5993</v>
      </c>
      <c r="BN409" t="s">
        <v>74</v>
      </c>
      <c r="BO409" t="s">
        <v>1921</v>
      </c>
      <c r="BP409" t="s">
        <v>74</v>
      </c>
      <c r="BQ409" t="s">
        <v>74</v>
      </c>
      <c r="BR409" t="s">
        <v>107</v>
      </c>
      <c r="BS409" t="s">
        <v>5994</v>
      </c>
      <c r="BT409" t="str">
        <f>HYPERLINK("https%3A%2F%2Fwww.webofscience.com%2Fwos%2Fwoscc%2Ffull-record%2FWOS:000174154200012","View Full Record in Web of Science")</f>
        <v>View Full Record in Web of Science</v>
      </c>
    </row>
    <row r="410" spans="1:72" x14ac:dyDescent="0.15">
      <c r="A410" t="s">
        <v>72</v>
      </c>
      <c r="B410" t="s">
        <v>5995</v>
      </c>
      <c r="C410" t="s">
        <v>74</v>
      </c>
      <c r="D410" t="s">
        <v>74</v>
      </c>
      <c r="E410" t="s">
        <v>74</v>
      </c>
      <c r="F410" t="s">
        <v>5995</v>
      </c>
      <c r="G410" t="s">
        <v>74</v>
      </c>
      <c r="H410" t="s">
        <v>74</v>
      </c>
      <c r="I410" t="s">
        <v>5996</v>
      </c>
      <c r="J410" t="s">
        <v>5997</v>
      </c>
      <c r="K410" t="s">
        <v>74</v>
      </c>
      <c r="L410" t="s">
        <v>74</v>
      </c>
      <c r="M410" t="s">
        <v>77</v>
      </c>
      <c r="N410" t="s">
        <v>78</v>
      </c>
      <c r="O410" t="s">
        <v>5998</v>
      </c>
      <c r="P410" t="s">
        <v>5999</v>
      </c>
      <c r="Q410" t="s">
        <v>6000</v>
      </c>
      <c r="R410" t="s">
        <v>74</v>
      </c>
      <c r="S410" t="s">
        <v>74</v>
      </c>
      <c r="T410" t="s">
        <v>6001</v>
      </c>
      <c r="U410" t="s">
        <v>74</v>
      </c>
      <c r="V410" t="s">
        <v>6002</v>
      </c>
      <c r="W410" t="s">
        <v>6003</v>
      </c>
      <c r="X410" t="s">
        <v>6004</v>
      </c>
      <c r="Y410" t="s">
        <v>6005</v>
      </c>
      <c r="Z410" t="s">
        <v>74</v>
      </c>
      <c r="AA410" t="s">
        <v>6006</v>
      </c>
      <c r="AB410" t="s">
        <v>74</v>
      </c>
      <c r="AC410" t="s">
        <v>74</v>
      </c>
      <c r="AD410" t="s">
        <v>74</v>
      </c>
      <c r="AE410" t="s">
        <v>74</v>
      </c>
      <c r="AF410" t="s">
        <v>74</v>
      </c>
      <c r="AG410">
        <v>14</v>
      </c>
      <c r="AH410">
        <v>3</v>
      </c>
      <c r="AI410">
        <v>3</v>
      </c>
      <c r="AJ410">
        <v>0</v>
      </c>
      <c r="AK410">
        <v>2</v>
      </c>
      <c r="AL410" t="s">
        <v>6007</v>
      </c>
      <c r="AM410" t="s">
        <v>6008</v>
      </c>
      <c r="AN410" t="s">
        <v>6009</v>
      </c>
      <c r="AO410" t="s">
        <v>6010</v>
      </c>
      <c r="AP410" t="s">
        <v>74</v>
      </c>
      <c r="AQ410" t="s">
        <v>74</v>
      </c>
      <c r="AR410" t="s">
        <v>6011</v>
      </c>
      <c r="AS410" t="s">
        <v>3616</v>
      </c>
      <c r="AT410" t="s">
        <v>5974</v>
      </c>
      <c r="AU410">
        <v>2002</v>
      </c>
      <c r="AV410">
        <v>45</v>
      </c>
      <c r="AW410">
        <v>1</v>
      </c>
      <c r="AX410" t="s">
        <v>74</v>
      </c>
      <c r="AY410" t="s">
        <v>74</v>
      </c>
      <c r="AZ410" t="s">
        <v>74</v>
      </c>
      <c r="BA410" t="s">
        <v>74</v>
      </c>
      <c r="BB410">
        <v>145</v>
      </c>
      <c r="BC410">
        <v>153</v>
      </c>
      <c r="BD410" t="s">
        <v>74</v>
      </c>
      <c r="BE410" t="s">
        <v>74</v>
      </c>
      <c r="BF410" t="s">
        <v>74</v>
      </c>
      <c r="BG410" t="s">
        <v>74</v>
      </c>
      <c r="BH410" t="s">
        <v>74</v>
      </c>
      <c r="BI410">
        <v>9</v>
      </c>
      <c r="BJ410" t="s">
        <v>556</v>
      </c>
      <c r="BK410" t="s">
        <v>744</v>
      </c>
      <c r="BL410" t="s">
        <v>556</v>
      </c>
      <c r="BM410" t="s">
        <v>6012</v>
      </c>
      <c r="BN410" t="s">
        <v>74</v>
      </c>
      <c r="BO410" t="s">
        <v>74</v>
      </c>
      <c r="BP410" t="s">
        <v>74</v>
      </c>
      <c r="BQ410" t="s">
        <v>74</v>
      </c>
      <c r="BR410" t="s">
        <v>107</v>
      </c>
      <c r="BS410" t="s">
        <v>6013</v>
      </c>
      <c r="BT410" t="str">
        <f>HYPERLINK("https%3A%2F%2Fwww.webofscience.com%2Fwos%2Fwoscc%2Ffull-record%2FWOS:000177675600015","View Full Record in Web of Science")</f>
        <v>View Full Record in Web of Science</v>
      </c>
    </row>
    <row r="411" spans="1:72" x14ac:dyDescent="0.15">
      <c r="A411" t="s">
        <v>72</v>
      </c>
      <c r="B411" t="s">
        <v>6014</v>
      </c>
      <c r="C411" t="s">
        <v>74</v>
      </c>
      <c r="D411" t="s">
        <v>74</v>
      </c>
      <c r="E411" t="s">
        <v>74</v>
      </c>
      <c r="F411" t="s">
        <v>6014</v>
      </c>
      <c r="G411" t="s">
        <v>74</v>
      </c>
      <c r="H411" t="s">
        <v>74</v>
      </c>
      <c r="I411" t="s">
        <v>6015</v>
      </c>
      <c r="J411" t="s">
        <v>5997</v>
      </c>
      <c r="K411" t="s">
        <v>74</v>
      </c>
      <c r="L411" t="s">
        <v>74</v>
      </c>
      <c r="M411" t="s">
        <v>77</v>
      </c>
      <c r="N411" t="s">
        <v>78</v>
      </c>
      <c r="O411" t="s">
        <v>5998</v>
      </c>
      <c r="P411" t="s">
        <v>5999</v>
      </c>
      <c r="Q411" t="s">
        <v>6000</v>
      </c>
      <c r="R411" t="s">
        <v>74</v>
      </c>
      <c r="S411" t="s">
        <v>74</v>
      </c>
      <c r="T411" t="s">
        <v>6016</v>
      </c>
      <c r="U411" t="s">
        <v>6017</v>
      </c>
      <c r="V411" t="s">
        <v>6018</v>
      </c>
      <c r="W411" t="s">
        <v>6019</v>
      </c>
      <c r="X411" t="s">
        <v>6020</v>
      </c>
      <c r="Y411" t="s">
        <v>6021</v>
      </c>
      <c r="Z411" t="s">
        <v>74</v>
      </c>
      <c r="AA411" t="s">
        <v>6022</v>
      </c>
      <c r="AB411" t="s">
        <v>6023</v>
      </c>
      <c r="AC411" t="s">
        <v>74</v>
      </c>
      <c r="AD411" t="s">
        <v>74</v>
      </c>
      <c r="AE411" t="s">
        <v>74</v>
      </c>
      <c r="AF411" t="s">
        <v>74</v>
      </c>
      <c r="AG411">
        <v>12</v>
      </c>
      <c r="AH411">
        <v>1</v>
      </c>
      <c r="AI411">
        <v>1</v>
      </c>
      <c r="AJ411">
        <v>0</v>
      </c>
      <c r="AK411">
        <v>1</v>
      </c>
      <c r="AL411" t="s">
        <v>6007</v>
      </c>
      <c r="AM411" t="s">
        <v>6008</v>
      </c>
      <c r="AN411" t="s">
        <v>6009</v>
      </c>
      <c r="AO411" t="s">
        <v>6010</v>
      </c>
      <c r="AP411" t="s">
        <v>74</v>
      </c>
      <c r="AQ411" t="s">
        <v>74</v>
      </c>
      <c r="AR411" t="s">
        <v>6011</v>
      </c>
      <c r="AS411" t="s">
        <v>3616</v>
      </c>
      <c r="AT411" t="s">
        <v>5974</v>
      </c>
      <c r="AU411">
        <v>2002</v>
      </c>
      <c r="AV411">
        <v>45</v>
      </c>
      <c r="AW411">
        <v>1</v>
      </c>
      <c r="AX411" t="s">
        <v>74</v>
      </c>
      <c r="AY411" t="s">
        <v>74</v>
      </c>
      <c r="AZ411" t="s">
        <v>74</v>
      </c>
      <c r="BA411" t="s">
        <v>74</v>
      </c>
      <c r="BB411">
        <v>163</v>
      </c>
      <c r="BC411">
        <v>168</v>
      </c>
      <c r="BD411" t="s">
        <v>74</v>
      </c>
      <c r="BE411" t="s">
        <v>74</v>
      </c>
      <c r="BF411" t="s">
        <v>74</v>
      </c>
      <c r="BG411" t="s">
        <v>74</v>
      </c>
      <c r="BH411" t="s">
        <v>74</v>
      </c>
      <c r="BI411">
        <v>6</v>
      </c>
      <c r="BJ411" t="s">
        <v>556</v>
      </c>
      <c r="BK411" t="s">
        <v>744</v>
      </c>
      <c r="BL411" t="s">
        <v>556</v>
      </c>
      <c r="BM411" t="s">
        <v>6012</v>
      </c>
      <c r="BN411" t="s">
        <v>74</v>
      </c>
      <c r="BO411" t="s">
        <v>74</v>
      </c>
      <c r="BP411" t="s">
        <v>74</v>
      </c>
      <c r="BQ411" t="s">
        <v>74</v>
      </c>
      <c r="BR411" t="s">
        <v>107</v>
      </c>
      <c r="BS411" t="s">
        <v>6024</v>
      </c>
      <c r="BT411" t="str">
        <f>HYPERLINK("https%3A%2F%2Fwww.webofscience.com%2Fwos%2Fwoscc%2Ffull-record%2FWOS:000177675600017","View Full Record in Web of Science")</f>
        <v>View Full Record in Web of Science</v>
      </c>
    </row>
    <row r="412" spans="1:72" x14ac:dyDescent="0.15">
      <c r="A412" t="s">
        <v>72</v>
      </c>
      <c r="B412" t="s">
        <v>6025</v>
      </c>
      <c r="C412" t="s">
        <v>74</v>
      </c>
      <c r="D412" t="s">
        <v>74</v>
      </c>
      <c r="E412" t="s">
        <v>74</v>
      </c>
      <c r="F412" t="s">
        <v>6025</v>
      </c>
      <c r="G412" t="s">
        <v>74</v>
      </c>
      <c r="H412" t="s">
        <v>74</v>
      </c>
      <c r="I412" t="s">
        <v>6026</v>
      </c>
      <c r="J412" t="s">
        <v>2195</v>
      </c>
      <c r="K412" t="s">
        <v>74</v>
      </c>
      <c r="L412" t="s">
        <v>74</v>
      </c>
      <c r="M412" t="s">
        <v>77</v>
      </c>
      <c r="N412" t="s">
        <v>751</v>
      </c>
      <c r="O412" t="s">
        <v>74</v>
      </c>
      <c r="P412" t="s">
        <v>74</v>
      </c>
      <c r="Q412" t="s">
        <v>74</v>
      </c>
      <c r="R412" t="s">
        <v>74</v>
      </c>
      <c r="S412" t="s">
        <v>74</v>
      </c>
      <c r="T412" t="s">
        <v>74</v>
      </c>
      <c r="U412" t="s">
        <v>74</v>
      </c>
      <c r="V412" t="s">
        <v>74</v>
      </c>
      <c r="W412" t="s">
        <v>74</v>
      </c>
      <c r="X412" t="s">
        <v>74</v>
      </c>
      <c r="Y412" t="s">
        <v>74</v>
      </c>
      <c r="Z412" t="s">
        <v>74</v>
      </c>
      <c r="AA412" t="s">
        <v>74</v>
      </c>
      <c r="AB412" t="s">
        <v>74</v>
      </c>
      <c r="AC412" t="s">
        <v>74</v>
      </c>
      <c r="AD412" t="s">
        <v>74</v>
      </c>
      <c r="AE412" t="s">
        <v>74</v>
      </c>
      <c r="AF412" t="s">
        <v>74</v>
      </c>
      <c r="AG412">
        <v>0</v>
      </c>
      <c r="AH412">
        <v>6</v>
      </c>
      <c r="AI412">
        <v>6</v>
      </c>
      <c r="AJ412">
        <v>0</v>
      </c>
      <c r="AK412">
        <v>1</v>
      </c>
      <c r="AL412" t="s">
        <v>2202</v>
      </c>
      <c r="AM412" t="s">
        <v>1350</v>
      </c>
      <c r="AN412" t="s">
        <v>2203</v>
      </c>
      <c r="AO412" t="s">
        <v>2204</v>
      </c>
      <c r="AP412" t="s">
        <v>74</v>
      </c>
      <c r="AQ412" t="s">
        <v>74</v>
      </c>
      <c r="AR412" t="s">
        <v>2206</v>
      </c>
      <c r="AS412" t="s">
        <v>2207</v>
      </c>
      <c r="AT412" t="s">
        <v>5974</v>
      </c>
      <c r="AU412">
        <v>2002</v>
      </c>
      <c r="AV412">
        <v>34</v>
      </c>
      <c r="AW412">
        <v>1</v>
      </c>
      <c r="AX412" t="s">
        <v>74</v>
      </c>
      <c r="AY412" t="s">
        <v>74</v>
      </c>
      <c r="AZ412" t="s">
        <v>74</v>
      </c>
      <c r="BA412" t="s">
        <v>74</v>
      </c>
      <c r="BB412">
        <v>1</v>
      </c>
      <c r="BC412">
        <v>2</v>
      </c>
      <c r="BD412" t="s">
        <v>74</v>
      </c>
      <c r="BE412" t="s">
        <v>74</v>
      </c>
      <c r="BF412" t="s">
        <v>74</v>
      </c>
      <c r="BG412" t="s">
        <v>74</v>
      </c>
      <c r="BH412" t="s">
        <v>74</v>
      </c>
      <c r="BI412">
        <v>2</v>
      </c>
      <c r="BJ412" t="s">
        <v>2210</v>
      </c>
      <c r="BK412" t="s">
        <v>170</v>
      </c>
      <c r="BL412" t="s">
        <v>2211</v>
      </c>
      <c r="BM412" t="s">
        <v>6027</v>
      </c>
      <c r="BN412" t="s">
        <v>74</v>
      </c>
      <c r="BO412" t="s">
        <v>74</v>
      </c>
      <c r="BP412" t="s">
        <v>74</v>
      </c>
      <c r="BQ412" t="s">
        <v>74</v>
      </c>
      <c r="BR412" t="s">
        <v>107</v>
      </c>
      <c r="BS412" t="s">
        <v>6028</v>
      </c>
      <c r="BT412" t="str">
        <f>HYPERLINK("https%3A%2F%2Fwww.webofscience.com%2Fwos%2Fwoscc%2Ffull-record%2FWOS:000174856400001","View Full Record in Web of Science")</f>
        <v>View Full Record in Web of Science</v>
      </c>
    </row>
    <row r="413" spans="1:72" x14ac:dyDescent="0.15">
      <c r="A413" t="s">
        <v>72</v>
      </c>
      <c r="B413" t="s">
        <v>6029</v>
      </c>
      <c r="C413" t="s">
        <v>74</v>
      </c>
      <c r="D413" t="s">
        <v>74</v>
      </c>
      <c r="E413" t="s">
        <v>74</v>
      </c>
      <c r="F413" t="s">
        <v>6029</v>
      </c>
      <c r="G413" t="s">
        <v>74</v>
      </c>
      <c r="H413" t="s">
        <v>74</v>
      </c>
      <c r="I413" t="s">
        <v>6030</v>
      </c>
      <c r="J413" t="s">
        <v>2195</v>
      </c>
      <c r="K413" t="s">
        <v>74</v>
      </c>
      <c r="L413" t="s">
        <v>74</v>
      </c>
      <c r="M413" t="s">
        <v>77</v>
      </c>
      <c r="N413" t="s">
        <v>153</v>
      </c>
      <c r="O413" t="s">
        <v>74</v>
      </c>
      <c r="P413" t="s">
        <v>74</v>
      </c>
      <c r="Q413" t="s">
        <v>74</v>
      </c>
      <c r="R413" t="s">
        <v>74</v>
      </c>
      <c r="S413" t="s">
        <v>74</v>
      </c>
      <c r="T413" t="s">
        <v>74</v>
      </c>
      <c r="U413" t="s">
        <v>6031</v>
      </c>
      <c r="V413" t="s">
        <v>6032</v>
      </c>
      <c r="W413" t="s">
        <v>6033</v>
      </c>
      <c r="X413" t="s">
        <v>6034</v>
      </c>
      <c r="Y413" t="s">
        <v>6035</v>
      </c>
      <c r="Z413" t="s">
        <v>6036</v>
      </c>
      <c r="AA413" t="s">
        <v>6037</v>
      </c>
      <c r="AB413" t="s">
        <v>6038</v>
      </c>
      <c r="AC413" t="s">
        <v>74</v>
      </c>
      <c r="AD413" t="s">
        <v>74</v>
      </c>
      <c r="AE413" t="s">
        <v>74</v>
      </c>
      <c r="AF413" t="s">
        <v>74</v>
      </c>
      <c r="AG413">
        <v>47</v>
      </c>
      <c r="AH413">
        <v>9</v>
      </c>
      <c r="AI413">
        <v>10</v>
      </c>
      <c r="AJ413">
        <v>0</v>
      </c>
      <c r="AK413">
        <v>13</v>
      </c>
      <c r="AL413" t="s">
        <v>2202</v>
      </c>
      <c r="AM413" t="s">
        <v>1350</v>
      </c>
      <c r="AN413" t="s">
        <v>2203</v>
      </c>
      <c r="AO413" t="s">
        <v>2204</v>
      </c>
      <c r="AP413" t="s">
        <v>2205</v>
      </c>
      <c r="AQ413" t="s">
        <v>74</v>
      </c>
      <c r="AR413" t="s">
        <v>2206</v>
      </c>
      <c r="AS413" t="s">
        <v>2207</v>
      </c>
      <c r="AT413" t="s">
        <v>5974</v>
      </c>
      <c r="AU413">
        <v>2002</v>
      </c>
      <c r="AV413">
        <v>34</v>
      </c>
      <c r="AW413">
        <v>1</v>
      </c>
      <c r="AX413" t="s">
        <v>74</v>
      </c>
      <c r="AY413" t="s">
        <v>74</v>
      </c>
      <c r="AZ413" t="s">
        <v>74</v>
      </c>
      <c r="BA413" t="s">
        <v>74</v>
      </c>
      <c r="BB413">
        <v>3</v>
      </c>
      <c r="BC413">
        <v>11</v>
      </c>
      <c r="BD413" t="s">
        <v>74</v>
      </c>
      <c r="BE413" t="s">
        <v>6039</v>
      </c>
      <c r="BF413" t="str">
        <f>HYPERLINK("http://dx.doi.org/10.2307/1552502","http://dx.doi.org/10.2307/1552502")</f>
        <v>http://dx.doi.org/10.2307/1552502</v>
      </c>
      <c r="BG413" t="s">
        <v>74</v>
      </c>
      <c r="BH413" t="s">
        <v>74</v>
      </c>
      <c r="BI413">
        <v>9</v>
      </c>
      <c r="BJ413" t="s">
        <v>2210</v>
      </c>
      <c r="BK413" t="s">
        <v>170</v>
      </c>
      <c r="BL413" t="s">
        <v>2211</v>
      </c>
      <c r="BM413" t="s">
        <v>6027</v>
      </c>
      <c r="BN413" t="s">
        <v>74</v>
      </c>
      <c r="BO413" t="s">
        <v>74</v>
      </c>
      <c r="BP413" t="s">
        <v>74</v>
      </c>
      <c r="BQ413" t="s">
        <v>74</v>
      </c>
      <c r="BR413" t="s">
        <v>107</v>
      </c>
      <c r="BS413" t="s">
        <v>6040</v>
      </c>
      <c r="BT413" t="str">
        <f>HYPERLINK("https%3A%2F%2Fwww.webofscience.com%2Fwos%2Fwoscc%2Ffull-record%2FWOS:000174856400002","View Full Record in Web of Science")</f>
        <v>View Full Record in Web of Science</v>
      </c>
    </row>
    <row r="414" spans="1:72" x14ac:dyDescent="0.15">
      <c r="A414" t="s">
        <v>72</v>
      </c>
      <c r="B414" t="s">
        <v>6041</v>
      </c>
      <c r="C414" t="s">
        <v>74</v>
      </c>
      <c r="D414" t="s">
        <v>74</v>
      </c>
      <c r="E414" t="s">
        <v>74</v>
      </c>
      <c r="F414" t="s">
        <v>6041</v>
      </c>
      <c r="G414" t="s">
        <v>74</v>
      </c>
      <c r="H414" t="s">
        <v>74</v>
      </c>
      <c r="I414" t="s">
        <v>6042</v>
      </c>
      <c r="J414" t="s">
        <v>2195</v>
      </c>
      <c r="K414" t="s">
        <v>74</v>
      </c>
      <c r="L414" t="s">
        <v>74</v>
      </c>
      <c r="M414" t="s">
        <v>77</v>
      </c>
      <c r="N414" t="s">
        <v>153</v>
      </c>
      <c r="O414" t="s">
        <v>74</v>
      </c>
      <c r="P414" t="s">
        <v>74</v>
      </c>
      <c r="Q414" t="s">
        <v>74</v>
      </c>
      <c r="R414" t="s">
        <v>74</v>
      </c>
      <c r="S414" t="s">
        <v>74</v>
      </c>
      <c r="T414" t="s">
        <v>74</v>
      </c>
      <c r="U414" t="s">
        <v>6043</v>
      </c>
      <c r="V414" t="s">
        <v>6044</v>
      </c>
      <c r="W414" t="s">
        <v>6045</v>
      </c>
      <c r="X414" t="s">
        <v>6046</v>
      </c>
      <c r="Y414" t="s">
        <v>6047</v>
      </c>
      <c r="Z414" t="s">
        <v>6048</v>
      </c>
      <c r="AA414" t="s">
        <v>6049</v>
      </c>
      <c r="AB414" t="s">
        <v>6050</v>
      </c>
      <c r="AC414" t="s">
        <v>74</v>
      </c>
      <c r="AD414" t="s">
        <v>74</v>
      </c>
      <c r="AE414" t="s">
        <v>74</v>
      </c>
      <c r="AF414" t="s">
        <v>74</v>
      </c>
      <c r="AG414">
        <v>22</v>
      </c>
      <c r="AH414">
        <v>108</v>
      </c>
      <c r="AI414">
        <v>121</v>
      </c>
      <c r="AJ414">
        <v>0</v>
      </c>
      <c r="AK414">
        <v>9</v>
      </c>
      <c r="AL414" t="s">
        <v>453</v>
      </c>
      <c r="AM414" t="s">
        <v>454</v>
      </c>
      <c r="AN414" t="s">
        <v>455</v>
      </c>
      <c r="AO414" t="s">
        <v>2204</v>
      </c>
      <c r="AP414" t="s">
        <v>2205</v>
      </c>
      <c r="AQ414" t="s">
        <v>74</v>
      </c>
      <c r="AR414" t="s">
        <v>2206</v>
      </c>
      <c r="AS414" t="s">
        <v>2207</v>
      </c>
      <c r="AT414" t="s">
        <v>5974</v>
      </c>
      <c r="AU414">
        <v>2002</v>
      </c>
      <c r="AV414">
        <v>34</v>
      </c>
      <c r="AW414">
        <v>1</v>
      </c>
      <c r="AX414" t="s">
        <v>74</v>
      </c>
      <c r="AY414" t="s">
        <v>74</v>
      </c>
      <c r="AZ414" t="s">
        <v>74</v>
      </c>
      <c r="BA414" t="s">
        <v>74</v>
      </c>
      <c r="BB414">
        <v>12</v>
      </c>
      <c r="BC414">
        <v>19</v>
      </c>
      <c r="BD414" t="s">
        <v>74</v>
      </c>
      <c r="BE414" t="s">
        <v>6051</v>
      </c>
      <c r="BF414" t="str">
        <f>HYPERLINK("http://dx.doi.org/10.2307/1552503","http://dx.doi.org/10.2307/1552503")</f>
        <v>http://dx.doi.org/10.2307/1552503</v>
      </c>
      <c r="BG414" t="s">
        <v>74</v>
      </c>
      <c r="BH414" t="s">
        <v>74</v>
      </c>
      <c r="BI414">
        <v>8</v>
      </c>
      <c r="BJ414" t="s">
        <v>2210</v>
      </c>
      <c r="BK414" t="s">
        <v>170</v>
      </c>
      <c r="BL414" t="s">
        <v>2211</v>
      </c>
      <c r="BM414" t="s">
        <v>6027</v>
      </c>
      <c r="BN414" t="s">
        <v>74</v>
      </c>
      <c r="BO414" t="s">
        <v>74</v>
      </c>
      <c r="BP414" t="s">
        <v>74</v>
      </c>
      <c r="BQ414" t="s">
        <v>74</v>
      </c>
      <c r="BR414" t="s">
        <v>107</v>
      </c>
      <c r="BS414" t="s">
        <v>6052</v>
      </c>
      <c r="BT414" t="str">
        <f>HYPERLINK("https%3A%2F%2Fwww.webofscience.com%2Fwos%2Fwoscc%2Ffull-record%2FWOS:000174856400003","View Full Record in Web of Science")</f>
        <v>View Full Record in Web of Science</v>
      </c>
    </row>
    <row r="415" spans="1:72" x14ac:dyDescent="0.15">
      <c r="A415" t="s">
        <v>72</v>
      </c>
      <c r="B415" t="s">
        <v>6053</v>
      </c>
      <c r="C415" t="s">
        <v>74</v>
      </c>
      <c r="D415" t="s">
        <v>74</v>
      </c>
      <c r="E415" t="s">
        <v>74</v>
      </c>
      <c r="F415" t="s">
        <v>6053</v>
      </c>
      <c r="G415" t="s">
        <v>74</v>
      </c>
      <c r="H415" t="s">
        <v>74</v>
      </c>
      <c r="I415" t="s">
        <v>6054</v>
      </c>
      <c r="J415" t="s">
        <v>2195</v>
      </c>
      <c r="K415" t="s">
        <v>74</v>
      </c>
      <c r="L415" t="s">
        <v>74</v>
      </c>
      <c r="M415" t="s">
        <v>77</v>
      </c>
      <c r="N415" t="s">
        <v>153</v>
      </c>
      <c r="O415" t="s">
        <v>74</v>
      </c>
      <c r="P415" t="s">
        <v>74</v>
      </c>
      <c r="Q415" t="s">
        <v>74</v>
      </c>
      <c r="R415" t="s">
        <v>74</v>
      </c>
      <c r="S415" t="s">
        <v>74</v>
      </c>
      <c r="T415" t="s">
        <v>74</v>
      </c>
      <c r="U415" t="s">
        <v>6055</v>
      </c>
      <c r="V415" t="s">
        <v>6056</v>
      </c>
      <c r="W415" t="s">
        <v>6057</v>
      </c>
      <c r="X415" t="s">
        <v>6058</v>
      </c>
      <c r="Y415" t="s">
        <v>6059</v>
      </c>
      <c r="Z415" t="s">
        <v>6060</v>
      </c>
      <c r="AA415" t="s">
        <v>74</v>
      </c>
      <c r="AB415" t="s">
        <v>74</v>
      </c>
      <c r="AC415" t="s">
        <v>74</v>
      </c>
      <c r="AD415" t="s">
        <v>74</v>
      </c>
      <c r="AE415" t="s">
        <v>74</v>
      </c>
      <c r="AF415" t="s">
        <v>74</v>
      </c>
      <c r="AG415">
        <v>54</v>
      </c>
      <c r="AH415">
        <v>7</v>
      </c>
      <c r="AI415">
        <v>7</v>
      </c>
      <c r="AJ415">
        <v>0</v>
      </c>
      <c r="AK415">
        <v>2</v>
      </c>
      <c r="AL415" t="s">
        <v>453</v>
      </c>
      <c r="AM415" t="s">
        <v>454</v>
      </c>
      <c r="AN415" t="s">
        <v>455</v>
      </c>
      <c r="AO415" t="s">
        <v>2204</v>
      </c>
      <c r="AP415" t="s">
        <v>2205</v>
      </c>
      <c r="AQ415" t="s">
        <v>74</v>
      </c>
      <c r="AR415" t="s">
        <v>2206</v>
      </c>
      <c r="AS415" t="s">
        <v>2207</v>
      </c>
      <c r="AT415" t="s">
        <v>5974</v>
      </c>
      <c r="AU415">
        <v>2002</v>
      </c>
      <c r="AV415">
        <v>34</v>
      </c>
      <c r="AW415">
        <v>1</v>
      </c>
      <c r="AX415" t="s">
        <v>74</v>
      </c>
      <c r="AY415" t="s">
        <v>74</v>
      </c>
      <c r="AZ415" t="s">
        <v>74</v>
      </c>
      <c r="BA415" t="s">
        <v>74</v>
      </c>
      <c r="BB415">
        <v>20</v>
      </c>
      <c r="BC415">
        <v>25</v>
      </c>
      <c r="BD415" t="s">
        <v>74</v>
      </c>
      <c r="BE415" t="s">
        <v>6061</v>
      </c>
      <c r="BF415" t="str">
        <f>HYPERLINK("http://dx.doi.org/10.2307/1552504","http://dx.doi.org/10.2307/1552504")</f>
        <v>http://dx.doi.org/10.2307/1552504</v>
      </c>
      <c r="BG415" t="s">
        <v>74</v>
      </c>
      <c r="BH415" t="s">
        <v>74</v>
      </c>
      <c r="BI415">
        <v>6</v>
      </c>
      <c r="BJ415" t="s">
        <v>2210</v>
      </c>
      <c r="BK415" t="s">
        <v>170</v>
      </c>
      <c r="BL415" t="s">
        <v>2211</v>
      </c>
      <c r="BM415" t="s">
        <v>6027</v>
      </c>
      <c r="BN415" t="s">
        <v>74</v>
      </c>
      <c r="BO415" t="s">
        <v>74</v>
      </c>
      <c r="BP415" t="s">
        <v>74</v>
      </c>
      <c r="BQ415" t="s">
        <v>74</v>
      </c>
      <c r="BR415" t="s">
        <v>107</v>
      </c>
      <c r="BS415" t="s">
        <v>6062</v>
      </c>
      <c r="BT415" t="str">
        <f>HYPERLINK("https%3A%2F%2Fwww.webofscience.com%2Fwos%2Fwoscc%2Ffull-record%2FWOS:000174856400004","View Full Record in Web of Science")</f>
        <v>View Full Record in Web of Science</v>
      </c>
    </row>
    <row r="416" spans="1:72" x14ac:dyDescent="0.15">
      <c r="A416" t="s">
        <v>72</v>
      </c>
      <c r="B416" t="s">
        <v>6063</v>
      </c>
      <c r="C416" t="s">
        <v>74</v>
      </c>
      <c r="D416" t="s">
        <v>74</v>
      </c>
      <c r="E416" t="s">
        <v>74</v>
      </c>
      <c r="F416" t="s">
        <v>6063</v>
      </c>
      <c r="G416" t="s">
        <v>74</v>
      </c>
      <c r="H416" t="s">
        <v>74</v>
      </c>
      <c r="I416" t="s">
        <v>6064</v>
      </c>
      <c r="J416" t="s">
        <v>2195</v>
      </c>
      <c r="K416" t="s">
        <v>74</v>
      </c>
      <c r="L416" t="s">
        <v>74</v>
      </c>
      <c r="M416" t="s">
        <v>77</v>
      </c>
      <c r="N416" t="s">
        <v>153</v>
      </c>
      <c r="O416" t="s">
        <v>74</v>
      </c>
      <c r="P416" t="s">
        <v>74</v>
      </c>
      <c r="Q416" t="s">
        <v>74</v>
      </c>
      <c r="R416" t="s">
        <v>74</v>
      </c>
      <c r="S416" t="s">
        <v>74</v>
      </c>
      <c r="T416" t="s">
        <v>74</v>
      </c>
      <c r="U416" t="s">
        <v>6065</v>
      </c>
      <c r="V416" t="s">
        <v>6066</v>
      </c>
      <c r="W416" t="s">
        <v>6067</v>
      </c>
      <c r="X416" t="s">
        <v>6068</v>
      </c>
      <c r="Y416" t="s">
        <v>6069</v>
      </c>
      <c r="Z416" t="s">
        <v>74</v>
      </c>
      <c r="AA416" t="s">
        <v>6070</v>
      </c>
      <c r="AB416" t="s">
        <v>74</v>
      </c>
      <c r="AC416" t="s">
        <v>74</v>
      </c>
      <c r="AD416" t="s">
        <v>74</v>
      </c>
      <c r="AE416" t="s">
        <v>74</v>
      </c>
      <c r="AF416" t="s">
        <v>74</v>
      </c>
      <c r="AG416">
        <v>30</v>
      </c>
      <c r="AH416">
        <v>19</v>
      </c>
      <c r="AI416">
        <v>21</v>
      </c>
      <c r="AJ416">
        <v>0</v>
      </c>
      <c r="AK416">
        <v>7</v>
      </c>
      <c r="AL416" t="s">
        <v>2202</v>
      </c>
      <c r="AM416" t="s">
        <v>1350</v>
      </c>
      <c r="AN416" t="s">
        <v>2203</v>
      </c>
      <c r="AO416" t="s">
        <v>2204</v>
      </c>
      <c r="AP416" t="s">
        <v>74</v>
      </c>
      <c r="AQ416" t="s">
        <v>74</v>
      </c>
      <c r="AR416" t="s">
        <v>2206</v>
      </c>
      <c r="AS416" t="s">
        <v>2207</v>
      </c>
      <c r="AT416" t="s">
        <v>5974</v>
      </c>
      <c r="AU416">
        <v>2002</v>
      </c>
      <c r="AV416">
        <v>34</v>
      </c>
      <c r="AW416">
        <v>1</v>
      </c>
      <c r="AX416" t="s">
        <v>74</v>
      </c>
      <c r="AY416" t="s">
        <v>74</v>
      </c>
      <c r="AZ416" t="s">
        <v>74</v>
      </c>
      <c r="BA416" t="s">
        <v>74</v>
      </c>
      <c r="BB416">
        <v>26</v>
      </c>
      <c r="BC416">
        <v>32</v>
      </c>
      <c r="BD416" t="s">
        <v>74</v>
      </c>
      <c r="BE416" t="s">
        <v>6071</v>
      </c>
      <c r="BF416" t="str">
        <f>HYPERLINK("http://dx.doi.org/10.2307/1552505","http://dx.doi.org/10.2307/1552505")</f>
        <v>http://dx.doi.org/10.2307/1552505</v>
      </c>
      <c r="BG416" t="s">
        <v>74</v>
      </c>
      <c r="BH416" t="s">
        <v>74</v>
      </c>
      <c r="BI416">
        <v>7</v>
      </c>
      <c r="BJ416" t="s">
        <v>2210</v>
      </c>
      <c r="BK416" t="s">
        <v>170</v>
      </c>
      <c r="BL416" t="s">
        <v>2211</v>
      </c>
      <c r="BM416" t="s">
        <v>6027</v>
      </c>
      <c r="BN416" t="s">
        <v>74</v>
      </c>
      <c r="BO416" t="s">
        <v>173</v>
      </c>
      <c r="BP416" t="s">
        <v>74</v>
      </c>
      <c r="BQ416" t="s">
        <v>74</v>
      </c>
      <c r="BR416" t="s">
        <v>107</v>
      </c>
      <c r="BS416" t="s">
        <v>6072</v>
      </c>
      <c r="BT416" t="str">
        <f>HYPERLINK("https%3A%2F%2Fwww.webofscience.com%2Fwos%2Fwoscc%2Ffull-record%2FWOS:000174856400005","View Full Record in Web of Science")</f>
        <v>View Full Record in Web of Science</v>
      </c>
    </row>
    <row r="417" spans="1:72" x14ac:dyDescent="0.15">
      <c r="A417" t="s">
        <v>72</v>
      </c>
      <c r="B417" t="s">
        <v>6073</v>
      </c>
      <c r="C417" t="s">
        <v>74</v>
      </c>
      <c r="D417" t="s">
        <v>74</v>
      </c>
      <c r="E417" t="s">
        <v>74</v>
      </c>
      <c r="F417" t="s">
        <v>6073</v>
      </c>
      <c r="G417" t="s">
        <v>74</v>
      </c>
      <c r="H417" t="s">
        <v>74</v>
      </c>
      <c r="I417" t="s">
        <v>6074</v>
      </c>
      <c r="J417" t="s">
        <v>2195</v>
      </c>
      <c r="K417" t="s">
        <v>74</v>
      </c>
      <c r="L417" t="s">
        <v>74</v>
      </c>
      <c r="M417" t="s">
        <v>77</v>
      </c>
      <c r="N417" t="s">
        <v>153</v>
      </c>
      <c r="O417" t="s">
        <v>74</v>
      </c>
      <c r="P417" t="s">
        <v>74</v>
      </c>
      <c r="Q417" t="s">
        <v>74</v>
      </c>
      <c r="R417" t="s">
        <v>74</v>
      </c>
      <c r="S417" t="s">
        <v>74</v>
      </c>
      <c r="T417" t="s">
        <v>74</v>
      </c>
      <c r="U417" t="s">
        <v>6075</v>
      </c>
      <c r="V417" t="s">
        <v>6076</v>
      </c>
      <c r="W417" t="s">
        <v>6077</v>
      </c>
      <c r="X417" t="s">
        <v>74</v>
      </c>
      <c r="Y417" t="s">
        <v>6078</v>
      </c>
      <c r="Z417" t="s">
        <v>74</v>
      </c>
      <c r="AA417" t="s">
        <v>74</v>
      </c>
      <c r="AB417" t="s">
        <v>74</v>
      </c>
      <c r="AC417" t="s">
        <v>74</v>
      </c>
      <c r="AD417" t="s">
        <v>74</v>
      </c>
      <c r="AE417" t="s">
        <v>74</v>
      </c>
      <c r="AF417" t="s">
        <v>74</v>
      </c>
      <c r="AG417">
        <v>38</v>
      </c>
      <c r="AH417">
        <v>16</v>
      </c>
      <c r="AI417">
        <v>19</v>
      </c>
      <c r="AJ417">
        <v>0</v>
      </c>
      <c r="AK417">
        <v>7</v>
      </c>
      <c r="AL417" t="s">
        <v>2202</v>
      </c>
      <c r="AM417" t="s">
        <v>1350</v>
      </c>
      <c r="AN417" t="s">
        <v>2203</v>
      </c>
      <c r="AO417" t="s">
        <v>2204</v>
      </c>
      <c r="AP417" t="s">
        <v>74</v>
      </c>
      <c r="AQ417" t="s">
        <v>74</v>
      </c>
      <c r="AR417" t="s">
        <v>2206</v>
      </c>
      <c r="AS417" t="s">
        <v>2207</v>
      </c>
      <c r="AT417" t="s">
        <v>5974</v>
      </c>
      <c r="AU417">
        <v>2002</v>
      </c>
      <c r="AV417">
        <v>34</v>
      </c>
      <c r="AW417">
        <v>1</v>
      </c>
      <c r="AX417" t="s">
        <v>74</v>
      </c>
      <c r="AY417" t="s">
        <v>74</v>
      </c>
      <c r="AZ417" t="s">
        <v>74</v>
      </c>
      <c r="BA417" t="s">
        <v>74</v>
      </c>
      <c r="BB417">
        <v>33</v>
      </c>
      <c r="BC417">
        <v>37</v>
      </c>
      <c r="BD417" t="s">
        <v>74</v>
      </c>
      <c r="BE417" t="s">
        <v>6079</v>
      </c>
      <c r="BF417" t="str">
        <f>HYPERLINK("http://dx.doi.org/10.2307/1552506","http://dx.doi.org/10.2307/1552506")</f>
        <v>http://dx.doi.org/10.2307/1552506</v>
      </c>
      <c r="BG417" t="s">
        <v>74</v>
      </c>
      <c r="BH417" t="s">
        <v>74</v>
      </c>
      <c r="BI417">
        <v>5</v>
      </c>
      <c r="BJ417" t="s">
        <v>2210</v>
      </c>
      <c r="BK417" t="s">
        <v>170</v>
      </c>
      <c r="BL417" t="s">
        <v>2211</v>
      </c>
      <c r="BM417" t="s">
        <v>6027</v>
      </c>
      <c r="BN417" t="s">
        <v>74</v>
      </c>
      <c r="BO417" t="s">
        <v>74</v>
      </c>
      <c r="BP417" t="s">
        <v>74</v>
      </c>
      <c r="BQ417" t="s">
        <v>74</v>
      </c>
      <c r="BR417" t="s">
        <v>107</v>
      </c>
      <c r="BS417" t="s">
        <v>6080</v>
      </c>
      <c r="BT417" t="str">
        <f>HYPERLINK("https%3A%2F%2Fwww.webofscience.com%2Fwos%2Fwoscc%2Ffull-record%2FWOS:000174856400006","View Full Record in Web of Science")</f>
        <v>View Full Record in Web of Science</v>
      </c>
    </row>
    <row r="418" spans="1:72" x14ac:dyDescent="0.15">
      <c r="A418" t="s">
        <v>72</v>
      </c>
      <c r="B418" t="s">
        <v>6081</v>
      </c>
      <c r="C418" t="s">
        <v>74</v>
      </c>
      <c r="D418" t="s">
        <v>74</v>
      </c>
      <c r="E418" t="s">
        <v>74</v>
      </c>
      <c r="F418" t="s">
        <v>6081</v>
      </c>
      <c r="G418" t="s">
        <v>74</v>
      </c>
      <c r="H418" t="s">
        <v>74</v>
      </c>
      <c r="I418" t="s">
        <v>6082</v>
      </c>
      <c r="J418" t="s">
        <v>2195</v>
      </c>
      <c r="K418" t="s">
        <v>74</v>
      </c>
      <c r="L418" t="s">
        <v>74</v>
      </c>
      <c r="M418" t="s">
        <v>77</v>
      </c>
      <c r="N418" t="s">
        <v>153</v>
      </c>
      <c r="O418" t="s">
        <v>74</v>
      </c>
      <c r="P418" t="s">
        <v>74</v>
      </c>
      <c r="Q418" t="s">
        <v>74</v>
      </c>
      <c r="R418" t="s">
        <v>74</v>
      </c>
      <c r="S418" t="s">
        <v>74</v>
      </c>
      <c r="T418" t="s">
        <v>74</v>
      </c>
      <c r="U418" t="s">
        <v>6083</v>
      </c>
      <c r="V418" t="s">
        <v>6084</v>
      </c>
      <c r="W418" t="s">
        <v>6085</v>
      </c>
      <c r="X418" t="s">
        <v>6086</v>
      </c>
      <c r="Y418" t="s">
        <v>6087</v>
      </c>
      <c r="Z418" t="s">
        <v>74</v>
      </c>
      <c r="AA418" t="s">
        <v>74</v>
      </c>
      <c r="AB418" t="s">
        <v>74</v>
      </c>
      <c r="AC418" t="s">
        <v>74</v>
      </c>
      <c r="AD418" t="s">
        <v>74</v>
      </c>
      <c r="AE418" t="s">
        <v>74</v>
      </c>
      <c r="AF418" t="s">
        <v>74</v>
      </c>
      <c r="AG418">
        <v>65</v>
      </c>
      <c r="AH418">
        <v>17</v>
      </c>
      <c r="AI418">
        <v>23</v>
      </c>
      <c r="AJ418">
        <v>0</v>
      </c>
      <c r="AK418">
        <v>2</v>
      </c>
      <c r="AL418" t="s">
        <v>2202</v>
      </c>
      <c r="AM418" t="s">
        <v>1350</v>
      </c>
      <c r="AN418" t="s">
        <v>2203</v>
      </c>
      <c r="AO418" t="s">
        <v>2204</v>
      </c>
      <c r="AP418" t="s">
        <v>74</v>
      </c>
      <c r="AQ418" t="s">
        <v>74</v>
      </c>
      <c r="AR418" t="s">
        <v>2206</v>
      </c>
      <c r="AS418" t="s">
        <v>2207</v>
      </c>
      <c r="AT418" t="s">
        <v>5974</v>
      </c>
      <c r="AU418">
        <v>2002</v>
      </c>
      <c r="AV418">
        <v>34</v>
      </c>
      <c r="AW418">
        <v>1</v>
      </c>
      <c r="AX418" t="s">
        <v>74</v>
      </c>
      <c r="AY418" t="s">
        <v>74</v>
      </c>
      <c r="AZ418" t="s">
        <v>74</v>
      </c>
      <c r="BA418" t="s">
        <v>74</v>
      </c>
      <c r="BB418">
        <v>38</v>
      </c>
      <c r="BC418">
        <v>48</v>
      </c>
      <c r="BD418" t="s">
        <v>74</v>
      </c>
      <c r="BE418" t="s">
        <v>6088</v>
      </c>
      <c r="BF418" t="str">
        <f>HYPERLINK("http://dx.doi.org/10.2307/1552507","http://dx.doi.org/10.2307/1552507")</f>
        <v>http://dx.doi.org/10.2307/1552507</v>
      </c>
      <c r="BG418" t="s">
        <v>74</v>
      </c>
      <c r="BH418" t="s">
        <v>74</v>
      </c>
      <c r="BI418">
        <v>11</v>
      </c>
      <c r="BJ418" t="s">
        <v>2210</v>
      </c>
      <c r="BK418" t="s">
        <v>170</v>
      </c>
      <c r="BL418" t="s">
        <v>2211</v>
      </c>
      <c r="BM418" t="s">
        <v>6027</v>
      </c>
      <c r="BN418" t="s">
        <v>74</v>
      </c>
      <c r="BO418" t="s">
        <v>173</v>
      </c>
      <c r="BP418" t="s">
        <v>74</v>
      </c>
      <c r="BQ418" t="s">
        <v>74</v>
      </c>
      <c r="BR418" t="s">
        <v>107</v>
      </c>
      <c r="BS418" t="s">
        <v>6089</v>
      </c>
      <c r="BT418" t="str">
        <f>HYPERLINK("https%3A%2F%2Fwww.webofscience.com%2Fwos%2Fwoscc%2Ffull-record%2FWOS:000174856400007","View Full Record in Web of Science")</f>
        <v>View Full Record in Web of Science</v>
      </c>
    </row>
    <row r="419" spans="1:72" x14ac:dyDescent="0.15">
      <c r="A419" t="s">
        <v>72</v>
      </c>
      <c r="B419" t="s">
        <v>6090</v>
      </c>
      <c r="C419" t="s">
        <v>74</v>
      </c>
      <c r="D419" t="s">
        <v>74</v>
      </c>
      <c r="E419" t="s">
        <v>74</v>
      </c>
      <c r="F419" t="s">
        <v>6090</v>
      </c>
      <c r="G419" t="s">
        <v>74</v>
      </c>
      <c r="H419" t="s">
        <v>74</v>
      </c>
      <c r="I419" t="s">
        <v>6091</v>
      </c>
      <c r="J419" t="s">
        <v>2195</v>
      </c>
      <c r="K419" t="s">
        <v>74</v>
      </c>
      <c r="L419" t="s">
        <v>74</v>
      </c>
      <c r="M419" t="s">
        <v>77</v>
      </c>
      <c r="N419" t="s">
        <v>153</v>
      </c>
      <c r="O419" t="s">
        <v>74</v>
      </c>
      <c r="P419" t="s">
        <v>74</v>
      </c>
      <c r="Q419" t="s">
        <v>74</v>
      </c>
      <c r="R419" t="s">
        <v>74</v>
      </c>
      <c r="S419" t="s">
        <v>74</v>
      </c>
      <c r="T419" t="s">
        <v>74</v>
      </c>
      <c r="U419" t="s">
        <v>6092</v>
      </c>
      <c r="V419" t="s">
        <v>6093</v>
      </c>
      <c r="W419" t="s">
        <v>6094</v>
      </c>
      <c r="X419" t="s">
        <v>6095</v>
      </c>
      <c r="Y419" t="s">
        <v>6096</v>
      </c>
      <c r="Z419" t="s">
        <v>74</v>
      </c>
      <c r="AA419" t="s">
        <v>74</v>
      </c>
      <c r="AB419" t="s">
        <v>6097</v>
      </c>
      <c r="AC419" t="s">
        <v>74</v>
      </c>
      <c r="AD419" t="s">
        <v>74</v>
      </c>
      <c r="AE419" t="s">
        <v>74</v>
      </c>
      <c r="AF419" t="s">
        <v>74</v>
      </c>
      <c r="AG419">
        <v>42</v>
      </c>
      <c r="AH419">
        <v>93</v>
      </c>
      <c r="AI419">
        <v>122</v>
      </c>
      <c r="AJ419">
        <v>1</v>
      </c>
      <c r="AK419">
        <v>49</v>
      </c>
      <c r="AL419" t="s">
        <v>2202</v>
      </c>
      <c r="AM419" t="s">
        <v>1350</v>
      </c>
      <c r="AN419" t="s">
        <v>2203</v>
      </c>
      <c r="AO419" t="s">
        <v>2204</v>
      </c>
      <c r="AP419" t="s">
        <v>74</v>
      </c>
      <c r="AQ419" t="s">
        <v>74</v>
      </c>
      <c r="AR419" t="s">
        <v>2206</v>
      </c>
      <c r="AS419" t="s">
        <v>2207</v>
      </c>
      <c r="AT419" t="s">
        <v>5974</v>
      </c>
      <c r="AU419">
        <v>2002</v>
      </c>
      <c r="AV419">
        <v>34</v>
      </c>
      <c r="AW419">
        <v>1</v>
      </c>
      <c r="AX419" t="s">
        <v>74</v>
      </c>
      <c r="AY419" t="s">
        <v>74</v>
      </c>
      <c r="AZ419" t="s">
        <v>74</v>
      </c>
      <c r="BA419" t="s">
        <v>74</v>
      </c>
      <c r="BB419">
        <v>49</v>
      </c>
      <c r="BC419">
        <v>56</v>
      </c>
      <c r="BD419" t="s">
        <v>74</v>
      </c>
      <c r="BE419" t="s">
        <v>6098</v>
      </c>
      <c r="BF419" t="str">
        <f>HYPERLINK("http://dx.doi.org/10.2307/1552508","http://dx.doi.org/10.2307/1552508")</f>
        <v>http://dx.doi.org/10.2307/1552508</v>
      </c>
      <c r="BG419" t="s">
        <v>74</v>
      </c>
      <c r="BH419" t="s">
        <v>74</v>
      </c>
      <c r="BI419">
        <v>8</v>
      </c>
      <c r="BJ419" t="s">
        <v>2210</v>
      </c>
      <c r="BK419" t="s">
        <v>170</v>
      </c>
      <c r="BL419" t="s">
        <v>2211</v>
      </c>
      <c r="BM419" t="s">
        <v>6027</v>
      </c>
      <c r="BN419" t="s">
        <v>74</v>
      </c>
      <c r="BO419" t="s">
        <v>74</v>
      </c>
      <c r="BP419" t="s">
        <v>74</v>
      </c>
      <c r="BQ419" t="s">
        <v>74</v>
      </c>
      <c r="BR419" t="s">
        <v>107</v>
      </c>
      <c r="BS419" t="s">
        <v>6099</v>
      </c>
      <c r="BT419" t="str">
        <f>HYPERLINK("https%3A%2F%2Fwww.webofscience.com%2Fwos%2Fwoscc%2Ffull-record%2FWOS:000174856400008","View Full Record in Web of Science")</f>
        <v>View Full Record in Web of Science</v>
      </c>
    </row>
    <row r="420" spans="1:72" x14ac:dyDescent="0.15">
      <c r="A420" t="s">
        <v>72</v>
      </c>
      <c r="B420" t="s">
        <v>6100</v>
      </c>
      <c r="C420" t="s">
        <v>74</v>
      </c>
      <c r="D420" t="s">
        <v>74</v>
      </c>
      <c r="E420" t="s">
        <v>74</v>
      </c>
      <c r="F420" t="s">
        <v>6100</v>
      </c>
      <c r="G420" t="s">
        <v>74</v>
      </c>
      <c r="H420" t="s">
        <v>74</v>
      </c>
      <c r="I420" t="s">
        <v>6101</v>
      </c>
      <c r="J420" t="s">
        <v>2195</v>
      </c>
      <c r="K420" t="s">
        <v>74</v>
      </c>
      <c r="L420" t="s">
        <v>74</v>
      </c>
      <c r="M420" t="s">
        <v>77</v>
      </c>
      <c r="N420" t="s">
        <v>153</v>
      </c>
      <c r="O420" t="s">
        <v>74</v>
      </c>
      <c r="P420" t="s">
        <v>74</v>
      </c>
      <c r="Q420" t="s">
        <v>74</v>
      </c>
      <c r="R420" t="s">
        <v>74</v>
      </c>
      <c r="S420" t="s">
        <v>74</v>
      </c>
      <c r="T420" t="s">
        <v>74</v>
      </c>
      <c r="U420" t="s">
        <v>6102</v>
      </c>
      <c r="V420" t="s">
        <v>6103</v>
      </c>
      <c r="W420" t="s">
        <v>6104</v>
      </c>
      <c r="X420" t="s">
        <v>6105</v>
      </c>
      <c r="Y420" t="s">
        <v>6106</v>
      </c>
      <c r="Z420" t="s">
        <v>74</v>
      </c>
      <c r="AA420" t="s">
        <v>74</v>
      </c>
      <c r="AB420" t="s">
        <v>74</v>
      </c>
      <c r="AC420" t="s">
        <v>74</v>
      </c>
      <c r="AD420" t="s">
        <v>74</v>
      </c>
      <c r="AE420" t="s">
        <v>74</v>
      </c>
      <c r="AF420" t="s">
        <v>74</v>
      </c>
      <c r="AG420">
        <v>47</v>
      </c>
      <c r="AH420">
        <v>11</v>
      </c>
      <c r="AI420">
        <v>12</v>
      </c>
      <c r="AJ420">
        <v>3</v>
      </c>
      <c r="AK420">
        <v>16</v>
      </c>
      <c r="AL420" t="s">
        <v>2202</v>
      </c>
      <c r="AM420" t="s">
        <v>1350</v>
      </c>
      <c r="AN420" t="s">
        <v>2203</v>
      </c>
      <c r="AO420" t="s">
        <v>2204</v>
      </c>
      <c r="AP420" t="s">
        <v>74</v>
      </c>
      <c r="AQ420" t="s">
        <v>74</v>
      </c>
      <c r="AR420" t="s">
        <v>2206</v>
      </c>
      <c r="AS420" t="s">
        <v>2207</v>
      </c>
      <c r="AT420" t="s">
        <v>5974</v>
      </c>
      <c r="AU420">
        <v>2002</v>
      </c>
      <c r="AV420">
        <v>34</v>
      </c>
      <c r="AW420">
        <v>1</v>
      </c>
      <c r="AX420" t="s">
        <v>74</v>
      </c>
      <c r="AY420" t="s">
        <v>74</v>
      </c>
      <c r="AZ420" t="s">
        <v>74</v>
      </c>
      <c r="BA420" t="s">
        <v>74</v>
      </c>
      <c r="BB420">
        <v>57</v>
      </c>
      <c r="BC420">
        <v>64</v>
      </c>
      <c r="BD420" t="s">
        <v>74</v>
      </c>
      <c r="BE420" t="s">
        <v>6107</v>
      </c>
      <c r="BF420" t="str">
        <f>HYPERLINK("http://dx.doi.org/10.2307/1552509","http://dx.doi.org/10.2307/1552509")</f>
        <v>http://dx.doi.org/10.2307/1552509</v>
      </c>
      <c r="BG420" t="s">
        <v>74</v>
      </c>
      <c r="BH420" t="s">
        <v>74</v>
      </c>
      <c r="BI420">
        <v>8</v>
      </c>
      <c r="BJ420" t="s">
        <v>2210</v>
      </c>
      <c r="BK420" t="s">
        <v>170</v>
      </c>
      <c r="BL420" t="s">
        <v>2211</v>
      </c>
      <c r="BM420" t="s">
        <v>6027</v>
      </c>
      <c r="BN420" t="s">
        <v>74</v>
      </c>
      <c r="BO420" t="s">
        <v>74</v>
      </c>
      <c r="BP420" t="s">
        <v>74</v>
      </c>
      <c r="BQ420" t="s">
        <v>74</v>
      </c>
      <c r="BR420" t="s">
        <v>107</v>
      </c>
      <c r="BS420" t="s">
        <v>6108</v>
      </c>
      <c r="BT420" t="str">
        <f>HYPERLINK("https%3A%2F%2Fwww.webofscience.com%2Fwos%2Fwoscc%2Ffull-record%2FWOS:000174856400009","View Full Record in Web of Science")</f>
        <v>View Full Record in Web of Science</v>
      </c>
    </row>
    <row r="421" spans="1:72" x14ac:dyDescent="0.15">
      <c r="A421" t="s">
        <v>72</v>
      </c>
      <c r="B421" t="s">
        <v>6109</v>
      </c>
      <c r="C421" t="s">
        <v>74</v>
      </c>
      <c r="D421" t="s">
        <v>74</v>
      </c>
      <c r="E421" t="s">
        <v>74</v>
      </c>
      <c r="F421" t="s">
        <v>6109</v>
      </c>
      <c r="G421" t="s">
        <v>74</v>
      </c>
      <c r="H421" t="s">
        <v>74</v>
      </c>
      <c r="I421" t="s">
        <v>6110</v>
      </c>
      <c r="J421" t="s">
        <v>2195</v>
      </c>
      <c r="K421" t="s">
        <v>74</v>
      </c>
      <c r="L421" t="s">
        <v>74</v>
      </c>
      <c r="M421" t="s">
        <v>77</v>
      </c>
      <c r="N421" t="s">
        <v>153</v>
      </c>
      <c r="O421" t="s">
        <v>74</v>
      </c>
      <c r="P421" t="s">
        <v>74</v>
      </c>
      <c r="Q421" t="s">
        <v>74</v>
      </c>
      <c r="R421" t="s">
        <v>74</v>
      </c>
      <c r="S421" t="s">
        <v>74</v>
      </c>
      <c r="T421" t="s">
        <v>74</v>
      </c>
      <c r="U421" t="s">
        <v>6111</v>
      </c>
      <c r="V421" t="s">
        <v>6112</v>
      </c>
      <c r="W421" t="s">
        <v>6113</v>
      </c>
      <c r="X421" t="s">
        <v>6114</v>
      </c>
      <c r="Y421" t="s">
        <v>6115</v>
      </c>
      <c r="Z421" t="s">
        <v>74</v>
      </c>
      <c r="AA421" t="s">
        <v>6116</v>
      </c>
      <c r="AB421" t="s">
        <v>6117</v>
      </c>
      <c r="AC421" t="s">
        <v>74</v>
      </c>
      <c r="AD421" t="s">
        <v>74</v>
      </c>
      <c r="AE421" t="s">
        <v>74</v>
      </c>
      <c r="AF421" t="s">
        <v>74</v>
      </c>
      <c r="AG421">
        <v>33</v>
      </c>
      <c r="AH421">
        <v>3</v>
      </c>
      <c r="AI421">
        <v>3</v>
      </c>
      <c r="AJ421">
        <v>0</v>
      </c>
      <c r="AK421">
        <v>2</v>
      </c>
      <c r="AL421" t="s">
        <v>2202</v>
      </c>
      <c r="AM421" t="s">
        <v>1350</v>
      </c>
      <c r="AN421" t="s">
        <v>2203</v>
      </c>
      <c r="AO421" t="s">
        <v>2204</v>
      </c>
      <c r="AP421" t="s">
        <v>74</v>
      </c>
      <c r="AQ421" t="s">
        <v>74</v>
      </c>
      <c r="AR421" t="s">
        <v>2206</v>
      </c>
      <c r="AS421" t="s">
        <v>2207</v>
      </c>
      <c r="AT421" t="s">
        <v>5974</v>
      </c>
      <c r="AU421">
        <v>2002</v>
      </c>
      <c r="AV421">
        <v>34</v>
      </c>
      <c r="AW421">
        <v>1</v>
      </c>
      <c r="AX421" t="s">
        <v>74</v>
      </c>
      <c r="AY421" t="s">
        <v>74</v>
      </c>
      <c r="AZ421" t="s">
        <v>74</v>
      </c>
      <c r="BA421" t="s">
        <v>74</v>
      </c>
      <c r="BB421">
        <v>65</v>
      </c>
      <c r="BC421">
        <v>75</v>
      </c>
      <c r="BD421" t="s">
        <v>74</v>
      </c>
      <c r="BE421" t="s">
        <v>6118</v>
      </c>
      <c r="BF421" t="str">
        <f>HYPERLINK("http://dx.doi.org/10.2307/1552510","http://dx.doi.org/10.2307/1552510")</f>
        <v>http://dx.doi.org/10.2307/1552510</v>
      </c>
      <c r="BG421" t="s">
        <v>74</v>
      </c>
      <c r="BH421" t="s">
        <v>74</v>
      </c>
      <c r="BI421">
        <v>11</v>
      </c>
      <c r="BJ421" t="s">
        <v>2210</v>
      </c>
      <c r="BK421" t="s">
        <v>170</v>
      </c>
      <c r="BL421" t="s">
        <v>2211</v>
      </c>
      <c r="BM421" t="s">
        <v>6027</v>
      </c>
      <c r="BN421" t="s">
        <v>74</v>
      </c>
      <c r="BO421" t="s">
        <v>173</v>
      </c>
      <c r="BP421" t="s">
        <v>74</v>
      </c>
      <c r="BQ421" t="s">
        <v>74</v>
      </c>
      <c r="BR421" t="s">
        <v>107</v>
      </c>
      <c r="BS421" t="s">
        <v>6119</v>
      </c>
      <c r="BT421" t="str">
        <f>HYPERLINK("https%3A%2F%2Fwww.webofscience.com%2Fwos%2Fwoscc%2Ffull-record%2FWOS:000174856400010","View Full Record in Web of Science")</f>
        <v>View Full Record in Web of Science</v>
      </c>
    </row>
    <row r="422" spans="1:72" x14ac:dyDescent="0.15">
      <c r="A422" t="s">
        <v>72</v>
      </c>
      <c r="B422" t="s">
        <v>6120</v>
      </c>
      <c r="C422" t="s">
        <v>74</v>
      </c>
      <c r="D422" t="s">
        <v>74</v>
      </c>
      <c r="E422" t="s">
        <v>74</v>
      </c>
      <c r="F422" t="s">
        <v>6120</v>
      </c>
      <c r="G422" t="s">
        <v>74</v>
      </c>
      <c r="H422" t="s">
        <v>74</v>
      </c>
      <c r="I422" t="s">
        <v>6121</v>
      </c>
      <c r="J422" t="s">
        <v>2195</v>
      </c>
      <c r="K422" t="s">
        <v>74</v>
      </c>
      <c r="L422" t="s">
        <v>74</v>
      </c>
      <c r="M422" t="s">
        <v>77</v>
      </c>
      <c r="N422" t="s">
        <v>153</v>
      </c>
      <c r="O422" t="s">
        <v>74</v>
      </c>
      <c r="P422" t="s">
        <v>74</v>
      </c>
      <c r="Q422" t="s">
        <v>74</v>
      </c>
      <c r="R422" t="s">
        <v>74</v>
      </c>
      <c r="S422" t="s">
        <v>74</v>
      </c>
      <c r="T422" t="s">
        <v>74</v>
      </c>
      <c r="U422" t="s">
        <v>6122</v>
      </c>
      <c r="V422" t="s">
        <v>6123</v>
      </c>
      <c r="W422" t="s">
        <v>6124</v>
      </c>
      <c r="X422" t="s">
        <v>6125</v>
      </c>
      <c r="Y422" t="s">
        <v>6126</v>
      </c>
      <c r="Z422" t="s">
        <v>6127</v>
      </c>
      <c r="AA422" t="s">
        <v>6128</v>
      </c>
      <c r="AB422" t="s">
        <v>6129</v>
      </c>
      <c r="AC422" t="s">
        <v>74</v>
      </c>
      <c r="AD422" t="s">
        <v>74</v>
      </c>
      <c r="AE422" t="s">
        <v>74</v>
      </c>
      <c r="AF422" t="s">
        <v>74</v>
      </c>
      <c r="AG422">
        <v>56</v>
      </c>
      <c r="AH422">
        <v>12</v>
      </c>
      <c r="AI422">
        <v>12</v>
      </c>
      <c r="AJ422">
        <v>1</v>
      </c>
      <c r="AK422">
        <v>26</v>
      </c>
      <c r="AL422" t="s">
        <v>453</v>
      </c>
      <c r="AM422" t="s">
        <v>454</v>
      </c>
      <c r="AN422" t="s">
        <v>455</v>
      </c>
      <c r="AO422" t="s">
        <v>2204</v>
      </c>
      <c r="AP422" t="s">
        <v>2205</v>
      </c>
      <c r="AQ422" t="s">
        <v>74</v>
      </c>
      <c r="AR422" t="s">
        <v>2206</v>
      </c>
      <c r="AS422" t="s">
        <v>2207</v>
      </c>
      <c r="AT422" t="s">
        <v>5974</v>
      </c>
      <c r="AU422">
        <v>2002</v>
      </c>
      <c r="AV422">
        <v>34</v>
      </c>
      <c r="AW422">
        <v>1</v>
      </c>
      <c r="AX422" t="s">
        <v>74</v>
      </c>
      <c r="AY422" t="s">
        <v>74</v>
      </c>
      <c r="AZ422" t="s">
        <v>74</v>
      </c>
      <c r="BA422" t="s">
        <v>74</v>
      </c>
      <c r="BB422">
        <v>76</v>
      </c>
      <c r="BC422">
        <v>87</v>
      </c>
      <c r="BD422" t="s">
        <v>74</v>
      </c>
      <c r="BE422" t="s">
        <v>6130</v>
      </c>
      <c r="BF422" t="str">
        <f>HYPERLINK("http://dx.doi.org/10.2307/1552511","http://dx.doi.org/10.2307/1552511")</f>
        <v>http://dx.doi.org/10.2307/1552511</v>
      </c>
      <c r="BG422" t="s">
        <v>74</v>
      </c>
      <c r="BH422" t="s">
        <v>74</v>
      </c>
      <c r="BI422">
        <v>12</v>
      </c>
      <c r="BJ422" t="s">
        <v>2210</v>
      </c>
      <c r="BK422" t="s">
        <v>170</v>
      </c>
      <c r="BL422" t="s">
        <v>2211</v>
      </c>
      <c r="BM422" t="s">
        <v>6027</v>
      </c>
      <c r="BN422" t="s">
        <v>74</v>
      </c>
      <c r="BO422" t="s">
        <v>173</v>
      </c>
      <c r="BP422" t="s">
        <v>74</v>
      </c>
      <c r="BQ422" t="s">
        <v>74</v>
      </c>
      <c r="BR422" t="s">
        <v>107</v>
      </c>
      <c r="BS422" t="s">
        <v>6131</v>
      </c>
      <c r="BT422" t="str">
        <f>HYPERLINK("https%3A%2F%2Fwww.webofscience.com%2Fwos%2Fwoscc%2Ffull-record%2FWOS:000174856400011","View Full Record in Web of Science")</f>
        <v>View Full Record in Web of Science</v>
      </c>
    </row>
    <row r="423" spans="1:72" x14ac:dyDescent="0.15">
      <c r="A423" t="s">
        <v>72</v>
      </c>
      <c r="B423" t="s">
        <v>6132</v>
      </c>
      <c r="C423" t="s">
        <v>74</v>
      </c>
      <c r="D423" t="s">
        <v>74</v>
      </c>
      <c r="E423" t="s">
        <v>74</v>
      </c>
      <c r="F423" t="s">
        <v>6132</v>
      </c>
      <c r="G423" t="s">
        <v>74</v>
      </c>
      <c r="H423" t="s">
        <v>74</v>
      </c>
      <c r="I423" t="s">
        <v>6133</v>
      </c>
      <c r="J423" t="s">
        <v>2195</v>
      </c>
      <c r="K423" t="s">
        <v>74</v>
      </c>
      <c r="L423" t="s">
        <v>74</v>
      </c>
      <c r="M423" t="s">
        <v>77</v>
      </c>
      <c r="N423" t="s">
        <v>153</v>
      </c>
      <c r="O423" t="s">
        <v>74</v>
      </c>
      <c r="P423" t="s">
        <v>74</v>
      </c>
      <c r="Q423" t="s">
        <v>74</v>
      </c>
      <c r="R423" t="s">
        <v>74</v>
      </c>
      <c r="S423" t="s">
        <v>74</v>
      </c>
      <c r="T423" t="s">
        <v>74</v>
      </c>
      <c r="U423" t="s">
        <v>6134</v>
      </c>
      <c r="V423" t="s">
        <v>6135</v>
      </c>
      <c r="W423" t="s">
        <v>6136</v>
      </c>
      <c r="X423" t="s">
        <v>2226</v>
      </c>
      <c r="Y423" t="s">
        <v>6137</v>
      </c>
      <c r="Z423" t="s">
        <v>6138</v>
      </c>
      <c r="AA423" t="s">
        <v>74</v>
      </c>
      <c r="AB423" t="s">
        <v>74</v>
      </c>
      <c r="AC423" t="s">
        <v>74</v>
      </c>
      <c r="AD423" t="s">
        <v>74</v>
      </c>
      <c r="AE423" t="s">
        <v>74</v>
      </c>
      <c r="AF423" t="s">
        <v>74</v>
      </c>
      <c r="AG423">
        <v>37</v>
      </c>
      <c r="AH423">
        <v>92</v>
      </c>
      <c r="AI423">
        <v>95</v>
      </c>
      <c r="AJ423">
        <v>1</v>
      </c>
      <c r="AK423">
        <v>37</v>
      </c>
      <c r="AL423" t="s">
        <v>453</v>
      </c>
      <c r="AM423" t="s">
        <v>454</v>
      </c>
      <c r="AN423" t="s">
        <v>455</v>
      </c>
      <c r="AO423" t="s">
        <v>2204</v>
      </c>
      <c r="AP423" t="s">
        <v>2205</v>
      </c>
      <c r="AQ423" t="s">
        <v>74</v>
      </c>
      <c r="AR423" t="s">
        <v>2206</v>
      </c>
      <c r="AS423" t="s">
        <v>2207</v>
      </c>
      <c r="AT423" t="s">
        <v>5974</v>
      </c>
      <c r="AU423">
        <v>2002</v>
      </c>
      <c r="AV423">
        <v>34</v>
      </c>
      <c r="AW423">
        <v>1</v>
      </c>
      <c r="AX423" t="s">
        <v>74</v>
      </c>
      <c r="AY423" t="s">
        <v>74</v>
      </c>
      <c r="AZ423" t="s">
        <v>74</v>
      </c>
      <c r="BA423" t="s">
        <v>74</v>
      </c>
      <c r="BB423">
        <v>88</v>
      </c>
      <c r="BC423">
        <v>93</v>
      </c>
      <c r="BD423" t="s">
        <v>74</v>
      </c>
      <c r="BE423" t="s">
        <v>6139</v>
      </c>
      <c r="BF423" t="str">
        <f>HYPERLINK("http://dx.doi.org/10.2307/1552512","http://dx.doi.org/10.2307/1552512")</f>
        <v>http://dx.doi.org/10.2307/1552512</v>
      </c>
      <c r="BG423" t="s">
        <v>74</v>
      </c>
      <c r="BH423" t="s">
        <v>74</v>
      </c>
      <c r="BI423">
        <v>6</v>
      </c>
      <c r="BJ423" t="s">
        <v>2210</v>
      </c>
      <c r="BK423" t="s">
        <v>170</v>
      </c>
      <c r="BL423" t="s">
        <v>2211</v>
      </c>
      <c r="BM423" t="s">
        <v>6027</v>
      </c>
      <c r="BN423" t="s">
        <v>74</v>
      </c>
      <c r="BO423" t="s">
        <v>173</v>
      </c>
      <c r="BP423" t="s">
        <v>74</v>
      </c>
      <c r="BQ423" t="s">
        <v>74</v>
      </c>
      <c r="BR423" t="s">
        <v>107</v>
      </c>
      <c r="BS423" t="s">
        <v>6140</v>
      </c>
      <c r="BT423" t="str">
        <f>HYPERLINK("https%3A%2F%2Fwww.webofscience.com%2Fwos%2Fwoscc%2Ffull-record%2FWOS:000174856400012","View Full Record in Web of Science")</f>
        <v>View Full Record in Web of Science</v>
      </c>
    </row>
    <row r="424" spans="1:72" x14ac:dyDescent="0.15">
      <c r="A424" t="s">
        <v>72</v>
      </c>
      <c r="B424" t="s">
        <v>6141</v>
      </c>
      <c r="C424" t="s">
        <v>74</v>
      </c>
      <c r="D424" t="s">
        <v>74</v>
      </c>
      <c r="E424" t="s">
        <v>74</v>
      </c>
      <c r="F424" t="s">
        <v>6141</v>
      </c>
      <c r="G424" t="s">
        <v>74</v>
      </c>
      <c r="H424" t="s">
        <v>74</v>
      </c>
      <c r="I424" t="s">
        <v>6142</v>
      </c>
      <c r="J424" t="s">
        <v>2195</v>
      </c>
      <c r="K424" t="s">
        <v>74</v>
      </c>
      <c r="L424" t="s">
        <v>74</v>
      </c>
      <c r="M424" t="s">
        <v>77</v>
      </c>
      <c r="N424" t="s">
        <v>153</v>
      </c>
      <c r="O424" t="s">
        <v>74</v>
      </c>
      <c r="P424" t="s">
        <v>74</v>
      </c>
      <c r="Q424" t="s">
        <v>74</v>
      </c>
      <c r="R424" t="s">
        <v>74</v>
      </c>
      <c r="S424" t="s">
        <v>74</v>
      </c>
      <c r="T424" t="s">
        <v>74</v>
      </c>
      <c r="U424" t="s">
        <v>6143</v>
      </c>
      <c r="V424" t="s">
        <v>6144</v>
      </c>
      <c r="W424" t="s">
        <v>6145</v>
      </c>
      <c r="X424" t="s">
        <v>6146</v>
      </c>
      <c r="Y424" t="s">
        <v>6147</v>
      </c>
      <c r="Z424" t="s">
        <v>6148</v>
      </c>
      <c r="AA424" t="s">
        <v>74</v>
      </c>
      <c r="AB424" t="s">
        <v>6149</v>
      </c>
      <c r="AC424" t="s">
        <v>74</v>
      </c>
      <c r="AD424" t="s">
        <v>74</v>
      </c>
      <c r="AE424" t="s">
        <v>74</v>
      </c>
      <c r="AF424" t="s">
        <v>74</v>
      </c>
      <c r="AG424">
        <v>40</v>
      </c>
      <c r="AH424">
        <v>16</v>
      </c>
      <c r="AI424">
        <v>18</v>
      </c>
      <c r="AJ424">
        <v>0</v>
      </c>
      <c r="AK424">
        <v>6</v>
      </c>
      <c r="AL424" t="s">
        <v>453</v>
      </c>
      <c r="AM424" t="s">
        <v>454</v>
      </c>
      <c r="AN424" t="s">
        <v>455</v>
      </c>
      <c r="AO424" t="s">
        <v>2204</v>
      </c>
      <c r="AP424" t="s">
        <v>2205</v>
      </c>
      <c r="AQ424" t="s">
        <v>74</v>
      </c>
      <c r="AR424" t="s">
        <v>2206</v>
      </c>
      <c r="AS424" t="s">
        <v>2207</v>
      </c>
      <c r="AT424" t="s">
        <v>5974</v>
      </c>
      <c r="AU424">
        <v>2002</v>
      </c>
      <c r="AV424">
        <v>34</v>
      </c>
      <c r="AW424">
        <v>1</v>
      </c>
      <c r="AX424" t="s">
        <v>74</v>
      </c>
      <c r="AY424" t="s">
        <v>74</v>
      </c>
      <c r="AZ424" t="s">
        <v>74</v>
      </c>
      <c r="BA424" t="s">
        <v>74</v>
      </c>
      <c r="BB424">
        <v>94</v>
      </c>
      <c r="BC424">
        <v>101</v>
      </c>
      <c r="BD424" t="s">
        <v>74</v>
      </c>
      <c r="BE424" t="s">
        <v>6150</v>
      </c>
      <c r="BF424" t="str">
        <f>HYPERLINK("http://dx.doi.org/10.2307/1552513","http://dx.doi.org/10.2307/1552513")</f>
        <v>http://dx.doi.org/10.2307/1552513</v>
      </c>
      <c r="BG424" t="s">
        <v>74</v>
      </c>
      <c r="BH424" t="s">
        <v>74</v>
      </c>
      <c r="BI424">
        <v>8</v>
      </c>
      <c r="BJ424" t="s">
        <v>2210</v>
      </c>
      <c r="BK424" t="s">
        <v>170</v>
      </c>
      <c r="BL424" t="s">
        <v>2211</v>
      </c>
      <c r="BM424" t="s">
        <v>6027</v>
      </c>
      <c r="BN424" t="s">
        <v>74</v>
      </c>
      <c r="BO424" t="s">
        <v>173</v>
      </c>
      <c r="BP424" t="s">
        <v>74</v>
      </c>
      <c r="BQ424" t="s">
        <v>74</v>
      </c>
      <c r="BR424" t="s">
        <v>107</v>
      </c>
      <c r="BS424" t="s">
        <v>6151</v>
      </c>
      <c r="BT424" t="str">
        <f>HYPERLINK("https%3A%2F%2Fwww.webofscience.com%2Fwos%2Fwoscc%2Ffull-record%2FWOS:000174856400013","View Full Record in Web of Science")</f>
        <v>View Full Record in Web of Science</v>
      </c>
    </row>
    <row r="425" spans="1:72" x14ac:dyDescent="0.15">
      <c r="A425" t="s">
        <v>72</v>
      </c>
      <c r="B425" t="s">
        <v>6152</v>
      </c>
      <c r="C425" t="s">
        <v>74</v>
      </c>
      <c r="D425" t="s">
        <v>74</v>
      </c>
      <c r="E425" t="s">
        <v>74</v>
      </c>
      <c r="F425" t="s">
        <v>6152</v>
      </c>
      <c r="G425" t="s">
        <v>74</v>
      </c>
      <c r="H425" t="s">
        <v>74</v>
      </c>
      <c r="I425" t="s">
        <v>6153</v>
      </c>
      <c r="J425" t="s">
        <v>2195</v>
      </c>
      <c r="K425" t="s">
        <v>74</v>
      </c>
      <c r="L425" t="s">
        <v>74</v>
      </c>
      <c r="M425" t="s">
        <v>77</v>
      </c>
      <c r="N425" t="s">
        <v>153</v>
      </c>
      <c r="O425" t="s">
        <v>74</v>
      </c>
      <c r="P425" t="s">
        <v>74</v>
      </c>
      <c r="Q425" t="s">
        <v>74</v>
      </c>
      <c r="R425" t="s">
        <v>74</v>
      </c>
      <c r="S425" t="s">
        <v>74</v>
      </c>
      <c r="T425" t="s">
        <v>74</v>
      </c>
      <c r="U425" t="s">
        <v>6154</v>
      </c>
      <c r="V425" t="s">
        <v>6155</v>
      </c>
      <c r="W425" t="s">
        <v>6156</v>
      </c>
      <c r="X425" t="s">
        <v>6157</v>
      </c>
      <c r="Y425" t="s">
        <v>6158</v>
      </c>
      <c r="Z425" t="s">
        <v>6159</v>
      </c>
      <c r="AA425" t="s">
        <v>6160</v>
      </c>
      <c r="AB425" t="s">
        <v>6161</v>
      </c>
      <c r="AC425" t="s">
        <v>74</v>
      </c>
      <c r="AD425" t="s">
        <v>74</v>
      </c>
      <c r="AE425" t="s">
        <v>74</v>
      </c>
      <c r="AF425" t="s">
        <v>74</v>
      </c>
      <c r="AG425">
        <v>88</v>
      </c>
      <c r="AH425">
        <v>75</v>
      </c>
      <c r="AI425">
        <v>78</v>
      </c>
      <c r="AJ425">
        <v>1</v>
      </c>
      <c r="AK425">
        <v>29</v>
      </c>
      <c r="AL425" t="s">
        <v>453</v>
      </c>
      <c r="AM425" t="s">
        <v>454</v>
      </c>
      <c r="AN425" t="s">
        <v>455</v>
      </c>
      <c r="AO425" t="s">
        <v>2204</v>
      </c>
      <c r="AP425" t="s">
        <v>2205</v>
      </c>
      <c r="AQ425" t="s">
        <v>74</v>
      </c>
      <c r="AR425" t="s">
        <v>2206</v>
      </c>
      <c r="AS425" t="s">
        <v>2207</v>
      </c>
      <c r="AT425" t="s">
        <v>5974</v>
      </c>
      <c r="AU425">
        <v>2002</v>
      </c>
      <c r="AV425">
        <v>34</v>
      </c>
      <c r="AW425">
        <v>1</v>
      </c>
      <c r="AX425" t="s">
        <v>74</v>
      </c>
      <c r="AY425" t="s">
        <v>74</v>
      </c>
      <c r="AZ425" t="s">
        <v>74</v>
      </c>
      <c r="BA425" t="s">
        <v>74</v>
      </c>
      <c r="BB425">
        <v>102</v>
      </c>
      <c r="BC425">
        <v>113</v>
      </c>
      <c r="BD425" t="s">
        <v>74</v>
      </c>
      <c r="BE425" t="s">
        <v>6162</v>
      </c>
      <c r="BF425" t="str">
        <f>HYPERLINK("http://dx.doi.org/10.2307/1552514","http://dx.doi.org/10.2307/1552514")</f>
        <v>http://dx.doi.org/10.2307/1552514</v>
      </c>
      <c r="BG425" t="s">
        <v>74</v>
      </c>
      <c r="BH425" t="s">
        <v>74</v>
      </c>
      <c r="BI425">
        <v>12</v>
      </c>
      <c r="BJ425" t="s">
        <v>2210</v>
      </c>
      <c r="BK425" t="s">
        <v>170</v>
      </c>
      <c r="BL425" t="s">
        <v>2211</v>
      </c>
      <c r="BM425" t="s">
        <v>6027</v>
      </c>
      <c r="BN425" t="s">
        <v>74</v>
      </c>
      <c r="BO425" t="s">
        <v>74</v>
      </c>
      <c r="BP425" t="s">
        <v>74</v>
      </c>
      <c r="BQ425" t="s">
        <v>74</v>
      </c>
      <c r="BR425" t="s">
        <v>107</v>
      </c>
      <c r="BS425" t="s">
        <v>6163</v>
      </c>
      <c r="BT425" t="str">
        <f>HYPERLINK("https%3A%2F%2Fwww.webofscience.com%2Fwos%2Fwoscc%2Ffull-record%2FWOS:000174856400014","View Full Record in Web of Science")</f>
        <v>View Full Record in Web of Science</v>
      </c>
    </row>
    <row r="426" spans="1:72" x14ac:dyDescent="0.15">
      <c r="A426" t="s">
        <v>72</v>
      </c>
      <c r="B426" t="s">
        <v>6164</v>
      </c>
      <c r="C426" t="s">
        <v>74</v>
      </c>
      <c r="D426" t="s">
        <v>74</v>
      </c>
      <c r="E426" t="s">
        <v>74</v>
      </c>
      <c r="F426" t="s">
        <v>6164</v>
      </c>
      <c r="G426" t="s">
        <v>74</v>
      </c>
      <c r="H426" t="s">
        <v>74</v>
      </c>
      <c r="I426" t="s">
        <v>6165</v>
      </c>
      <c r="J426" t="s">
        <v>2343</v>
      </c>
      <c r="K426" t="s">
        <v>74</v>
      </c>
      <c r="L426" t="s">
        <v>74</v>
      </c>
      <c r="M426" t="s">
        <v>77</v>
      </c>
      <c r="N426" t="s">
        <v>153</v>
      </c>
      <c r="O426" t="s">
        <v>74</v>
      </c>
      <c r="P426" t="s">
        <v>74</v>
      </c>
      <c r="Q426" t="s">
        <v>74</v>
      </c>
      <c r="R426" t="s">
        <v>74</v>
      </c>
      <c r="S426" t="s">
        <v>74</v>
      </c>
      <c r="T426" t="s">
        <v>6166</v>
      </c>
      <c r="U426" t="s">
        <v>6167</v>
      </c>
      <c r="V426" t="s">
        <v>6168</v>
      </c>
      <c r="W426" t="s">
        <v>6169</v>
      </c>
      <c r="X426" t="s">
        <v>6170</v>
      </c>
      <c r="Y426" t="s">
        <v>6171</v>
      </c>
      <c r="Z426" t="s">
        <v>74</v>
      </c>
      <c r="AA426" t="s">
        <v>74</v>
      </c>
      <c r="AB426" t="s">
        <v>74</v>
      </c>
      <c r="AC426" t="s">
        <v>74</v>
      </c>
      <c r="AD426" t="s">
        <v>74</v>
      </c>
      <c r="AE426" t="s">
        <v>74</v>
      </c>
      <c r="AF426" t="s">
        <v>74</v>
      </c>
      <c r="AG426">
        <v>28</v>
      </c>
      <c r="AH426">
        <v>31</v>
      </c>
      <c r="AI426">
        <v>36</v>
      </c>
      <c r="AJ426">
        <v>1</v>
      </c>
      <c r="AK426">
        <v>14</v>
      </c>
      <c r="AL426" t="s">
        <v>1013</v>
      </c>
      <c r="AM426" t="s">
        <v>895</v>
      </c>
      <c r="AN426" t="s">
        <v>1014</v>
      </c>
      <c r="AO426" t="s">
        <v>2351</v>
      </c>
      <c r="AP426" t="s">
        <v>74</v>
      </c>
      <c r="AQ426" t="s">
        <v>74</v>
      </c>
      <c r="AR426" t="s">
        <v>2352</v>
      </c>
      <c r="AS426" t="s">
        <v>2353</v>
      </c>
      <c r="AT426" t="s">
        <v>5974</v>
      </c>
      <c r="AU426">
        <v>2002</v>
      </c>
      <c r="AV426">
        <v>36</v>
      </c>
      <c r="AW426">
        <v>4</v>
      </c>
      <c r="AX426" t="s">
        <v>74</v>
      </c>
      <c r="AY426" t="s">
        <v>74</v>
      </c>
      <c r="AZ426" t="s">
        <v>74</v>
      </c>
      <c r="BA426" t="s">
        <v>74</v>
      </c>
      <c r="BB426">
        <v>765</v>
      </c>
      <c r="BC426">
        <v>772</v>
      </c>
      <c r="BD426" t="s">
        <v>74</v>
      </c>
      <c r="BE426" t="s">
        <v>6172</v>
      </c>
      <c r="BF426" t="str">
        <f>HYPERLINK("http://dx.doi.org/10.1016/S1352-2310(01)00362-4","http://dx.doi.org/10.1016/S1352-2310(01)00362-4")</f>
        <v>http://dx.doi.org/10.1016/S1352-2310(01)00362-4</v>
      </c>
      <c r="BG426" t="s">
        <v>74</v>
      </c>
      <c r="BH426" t="s">
        <v>74</v>
      </c>
      <c r="BI426">
        <v>8</v>
      </c>
      <c r="BJ426" t="s">
        <v>2358</v>
      </c>
      <c r="BK426" t="s">
        <v>170</v>
      </c>
      <c r="BL426" t="s">
        <v>2359</v>
      </c>
      <c r="BM426" t="s">
        <v>6173</v>
      </c>
      <c r="BN426" t="s">
        <v>74</v>
      </c>
      <c r="BO426" t="s">
        <v>74</v>
      </c>
      <c r="BP426" t="s">
        <v>74</v>
      </c>
      <c r="BQ426" t="s">
        <v>74</v>
      </c>
      <c r="BR426" t="s">
        <v>107</v>
      </c>
      <c r="BS426" t="s">
        <v>6174</v>
      </c>
      <c r="BT426" t="str">
        <f>HYPERLINK("https%3A%2F%2Fwww.webofscience.com%2Fwos%2Fwoscc%2Ffull-record%2FWOS:000173811600015","View Full Record in Web of Science")</f>
        <v>View Full Record in Web of Science</v>
      </c>
    </row>
    <row r="427" spans="1:72" x14ac:dyDescent="0.15">
      <c r="A427" t="s">
        <v>72</v>
      </c>
      <c r="B427" t="s">
        <v>6175</v>
      </c>
      <c r="C427" t="s">
        <v>74</v>
      </c>
      <c r="D427" t="s">
        <v>74</v>
      </c>
      <c r="E427" t="s">
        <v>74</v>
      </c>
      <c r="F427" t="s">
        <v>6175</v>
      </c>
      <c r="G427" t="s">
        <v>74</v>
      </c>
      <c r="H427" t="s">
        <v>74</v>
      </c>
      <c r="I427" t="s">
        <v>6176</v>
      </c>
      <c r="J427" t="s">
        <v>6177</v>
      </c>
      <c r="K427" t="s">
        <v>74</v>
      </c>
      <c r="L427" t="s">
        <v>74</v>
      </c>
      <c r="M427" t="s">
        <v>77</v>
      </c>
      <c r="N427" t="s">
        <v>153</v>
      </c>
      <c r="O427" t="s">
        <v>74</v>
      </c>
      <c r="P427" t="s">
        <v>74</v>
      </c>
      <c r="Q427" t="s">
        <v>74</v>
      </c>
      <c r="R427" t="s">
        <v>74</v>
      </c>
      <c r="S427" t="s">
        <v>74</v>
      </c>
      <c r="T427" t="s">
        <v>6178</v>
      </c>
      <c r="U427" t="s">
        <v>6179</v>
      </c>
      <c r="V427" t="s">
        <v>6180</v>
      </c>
      <c r="W427" t="s">
        <v>6181</v>
      </c>
      <c r="X427" t="s">
        <v>6182</v>
      </c>
      <c r="Y427" t="s">
        <v>6183</v>
      </c>
      <c r="Z427" t="s">
        <v>6184</v>
      </c>
      <c r="AA427" t="s">
        <v>6185</v>
      </c>
      <c r="AB427" t="s">
        <v>74</v>
      </c>
      <c r="AC427" t="s">
        <v>74</v>
      </c>
      <c r="AD427" t="s">
        <v>74</v>
      </c>
      <c r="AE427" t="s">
        <v>74</v>
      </c>
      <c r="AF427" t="s">
        <v>74</v>
      </c>
      <c r="AG427">
        <v>44</v>
      </c>
      <c r="AH427">
        <v>49</v>
      </c>
      <c r="AI427">
        <v>64</v>
      </c>
      <c r="AJ427">
        <v>3</v>
      </c>
      <c r="AK427">
        <v>30</v>
      </c>
      <c r="AL427" t="s">
        <v>453</v>
      </c>
      <c r="AM427" t="s">
        <v>454</v>
      </c>
      <c r="AN427" t="s">
        <v>455</v>
      </c>
      <c r="AO427" t="s">
        <v>6186</v>
      </c>
      <c r="AP427" t="s">
        <v>6187</v>
      </c>
      <c r="AQ427" t="s">
        <v>74</v>
      </c>
      <c r="AR427" t="s">
        <v>6188</v>
      </c>
      <c r="AS427" t="s">
        <v>6189</v>
      </c>
      <c r="AT427" t="s">
        <v>5974</v>
      </c>
      <c r="AU427">
        <v>2002</v>
      </c>
      <c r="AV427">
        <v>66</v>
      </c>
      <c r="AW427">
        <v>2</v>
      </c>
      <c r="AX427" t="s">
        <v>74</v>
      </c>
      <c r="AY427" t="s">
        <v>74</v>
      </c>
      <c r="AZ427" t="s">
        <v>74</v>
      </c>
      <c r="BA427" t="s">
        <v>74</v>
      </c>
      <c r="BB427">
        <v>239</v>
      </c>
      <c r="BC427">
        <v>247</v>
      </c>
      <c r="BD427" t="s">
        <v>74</v>
      </c>
      <c r="BE427" t="s">
        <v>6190</v>
      </c>
      <c r="BF427" t="str">
        <f>HYPERLINK("http://dx.doi.org/10.1271/bbb.66.239","http://dx.doi.org/10.1271/bbb.66.239")</f>
        <v>http://dx.doi.org/10.1271/bbb.66.239</v>
      </c>
      <c r="BG427" t="s">
        <v>74</v>
      </c>
      <c r="BH427" t="s">
        <v>74</v>
      </c>
      <c r="BI427">
        <v>9</v>
      </c>
      <c r="BJ427" t="s">
        <v>6191</v>
      </c>
      <c r="BK427" t="s">
        <v>170</v>
      </c>
      <c r="BL427" t="s">
        <v>6192</v>
      </c>
      <c r="BM427" t="s">
        <v>6193</v>
      </c>
      <c r="BN427">
        <v>11999394</v>
      </c>
      <c r="BO427" t="s">
        <v>173</v>
      </c>
      <c r="BP427" t="s">
        <v>74</v>
      </c>
      <c r="BQ427" t="s">
        <v>74</v>
      </c>
      <c r="BR427" t="s">
        <v>107</v>
      </c>
      <c r="BS427" t="s">
        <v>6194</v>
      </c>
      <c r="BT427" t="str">
        <f>HYPERLINK("https%3A%2F%2Fwww.webofscience.com%2Fwos%2Fwoscc%2Ffull-record%2FWOS:000174150400003","View Full Record in Web of Science")</f>
        <v>View Full Record in Web of Science</v>
      </c>
    </row>
    <row r="428" spans="1:72" x14ac:dyDescent="0.15">
      <c r="A428" t="s">
        <v>72</v>
      </c>
      <c r="B428" t="s">
        <v>6195</v>
      </c>
      <c r="C428" t="s">
        <v>74</v>
      </c>
      <c r="D428" t="s">
        <v>74</v>
      </c>
      <c r="E428" t="s">
        <v>74</v>
      </c>
      <c r="F428" t="s">
        <v>6195</v>
      </c>
      <c r="G428" t="s">
        <v>74</v>
      </c>
      <c r="H428" t="s">
        <v>74</v>
      </c>
      <c r="I428" t="s">
        <v>6196</v>
      </c>
      <c r="J428" t="s">
        <v>3700</v>
      </c>
      <c r="K428" t="s">
        <v>74</v>
      </c>
      <c r="L428" t="s">
        <v>74</v>
      </c>
      <c r="M428" t="s">
        <v>77</v>
      </c>
      <c r="N428" t="s">
        <v>153</v>
      </c>
      <c r="O428" t="s">
        <v>74</v>
      </c>
      <c r="P428" t="s">
        <v>74</v>
      </c>
      <c r="Q428" t="s">
        <v>74</v>
      </c>
      <c r="R428" t="s">
        <v>74</v>
      </c>
      <c r="S428" t="s">
        <v>74</v>
      </c>
      <c r="T428" t="s">
        <v>74</v>
      </c>
      <c r="U428" t="s">
        <v>6197</v>
      </c>
      <c r="V428" t="s">
        <v>6198</v>
      </c>
      <c r="W428" t="s">
        <v>6199</v>
      </c>
      <c r="X428" t="s">
        <v>6200</v>
      </c>
      <c r="Y428" t="s">
        <v>6201</v>
      </c>
      <c r="Z428" t="s">
        <v>6202</v>
      </c>
      <c r="AA428" t="s">
        <v>6203</v>
      </c>
      <c r="AB428" t="s">
        <v>74</v>
      </c>
      <c r="AC428" t="s">
        <v>74</v>
      </c>
      <c r="AD428" t="s">
        <v>74</v>
      </c>
      <c r="AE428" t="s">
        <v>74</v>
      </c>
      <c r="AF428" t="s">
        <v>74</v>
      </c>
      <c r="AG428">
        <v>48</v>
      </c>
      <c r="AH428">
        <v>24</v>
      </c>
      <c r="AI428">
        <v>26</v>
      </c>
      <c r="AJ428">
        <v>1</v>
      </c>
      <c r="AK428">
        <v>13</v>
      </c>
      <c r="AL428" t="s">
        <v>3707</v>
      </c>
      <c r="AM428" t="s">
        <v>995</v>
      </c>
      <c r="AN428" t="s">
        <v>3708</v>
      </c>
      <c r="AO428" t="s">
        <v>3709</v>
      </c>
      <c r="AP428" t="s">
        <v>3710</v>
      </c>
      <c r="AQ428" t="s">
        <v>74</v>
      </c>
      <c r="AR428" t="s">
        <v>3711</v>
      </c>
      <c r="AS428" t="s">
        <v>3712</v>
      </c>
      <c r="AT428" t="s">
        <v>5974</v>
      </c>
      <c r="AU428">
        <v>2002</v>
      </c>
      <c r="AV428">
        <v>59</v>
      </c>
      <c r="AW428">
        <v>2</v>
      </c>
      <c r="AX428" t="s">
        <v>74</v>
      </c>
      <c r="AY428" t="s">
        <v>74</v>
      </c>
      <c r="AZ428" t="s">
        <v>74</v>
      </c>
      <c r="BA428" t="s">
        <v>74</v>
      </c>
      <c r="BB428">
        <v>317</v>
      </c>
      <c r="BC428">
        <v>328</v>
      </c>
      <c r="BD428" t="s">
        <v>74</v>
      </c>
      <c r="BE428" t="s">
        <v>6204</v>
      </c>
      <c r="BF428" t="str">
        <f>HYPERLINK("http://dx.doi.org/10.1139/F01-212","http://dx.doi.org/10.1139/F01-212")</f>
        <v>http://dx.doi.org/10.1139/F01-212</v>
      </c>
      <c r="BG428" t="s">
        <v>74</v>
      </c>
      <c r="BH428" t="s">
        <v>74</v>
      </c>
      <c r="BI428">
        <v>12</v>
      </c>
      <c r="BJ428" t="s">
        <v>1466</v>
      </c>
      <c r="BK428" t="s">
        <v>170</v>
      </c>
      <c r="BL428" t="s">
        <v>1466</v>
      </c>
      <c r="BM428" t="s">
        <v>6205</v>
      </c>
      <c r="BN428" t="s">
        <v>74</v>
      </c>
      <c r="BO428" t="s">
        <v>74</v>
      </c>
      <c r="BP428" t="s">
        <v>74</v>
      </c>
      <c r="BQ428" t="s">
        <v>74</v>
      </c>
      <c r="BR428" t="s">
        <v>107</v>
      </c>
      <c r="BS428" t="s">
        <v>6206</v>
      </c>
      <c r="BT428" t="str">
        <f>HYPERLINK("https%3A%2F%2Fwww.webofscience.com%2Fwos%2Fwoscc%2Ffull-record%2FWOS:000174334300013","View Full Record in Web of Science")</f>
        <v>View Full Record in Web of Science</v>
      </c>
    </row>
    <row r="429" spans="1:72" x14ac:dyDescent="0.15">
      <c r="A429" t="s">
        <v>72</v>
      </c>
      <c r="B429" t="s">
        <v>6207</v>
      </c>
      <c r="C429" t="s">
        <v>74</v>
      </c>
      <c r="D429" t="s">
        <v>74</v>
      </c>
      <c r="E429" t="s">
        <v>74</v>
      </c>
      <c r="F429" t="s">
        <v>6207</v>
      </c>
      <c r="G429" t="s">
        <v>74</v>
      </c>
      <c r="H429" t="s">
        <v>74</v>
      </c>
      <c r="I429" t="s">
        <v>6208</v>
      </c>
      <c r="J429" t="s">
        <v>1025</v>
      </c>
      <c r="K429" t="s">
        <v>74</v>
      </c>
      <c r="L429" t="s">
        <v>74</v>
      </c>
      <c r="M429" t="s">
        <v>77</v>
      </c>
      <c r="N429" t="s">
        <v>153</v>
      </c>
      <c r="O429" t="s">
        <v>74</v>
      </c>
      <c r="P429" t="s">
        <v>74</v>
      </c>
      <c r="Q429" t="s">
        <v>74</v>
      </c>
      <c r="R429" t="s">
        <v>74</v>
      </c>
      <c r="S429" t="s">
        <v>74</v>
      </c>
      <c r="T429" t="s">
        <v>74</v>
      </c>
      <c r="U429" t="s">
        <v>6209</v>
      </c>
      <c r="V429" t="s">
        <v>6210</v>
      </c>
      <c r="W429" t="s">
        <v>74</v>
      </c>
      <c r="X429" t="s">
        <v>74</v>
      </c>
      <c r="Y429" t="s">
        <v>6211</v>
      </c>
      <c r="Z429" t="s">
        <v>74</v>
      </c>
      <c r="AA429" t="s">
        <v>74</v>
      </c>
      <c r="AB429" t="s">
        <v>6212</v>
      </c>
      <c r="AC429" t="s">
        <v>74</v>
      </c>
      <c r="AD429" t="s">
        <v>74</v>
      </c>
      <c r="AE429" t="s">
        <v>74</v>
      </c>
      <c r="AF429" t="s">
        <v>74</v>
      </c>
      <c r="AG429">
        <v>95</v>
      </c>
      <c r="AH429">
        <v>12</v>
      </c>
      <c r="AI429">
        <v>12</v>
      </c>
      <c r="AJ429">
        <v>0</v>
      </c>
      <c r="AK429">
        <v>4</v>
      </c>
      <c r="AL429" t="s">
        <v>290</v>
      </c>
      <c r="AM429" t="s">
        <v>195</v>
      </c>
      <c r="AN429" t="s">
        <v>291</v>
      </c>
      <c r="AO429" t="s">
        <v>1033</v>
      </c>
      <c r="AP429" t="s">
        <v>74</v>
      </c>
      <c r="AQ429" t="s">
        <v>74</v>
      </c>
      <c r="AR429" t="s">
        <v>1034</v>
      </c>
      <c r="AS429" t="s">
        <v>1035</v>
      </c>
      <c r="AT429" t="s">
        <v>5974</v>
      </c>
      <c r="AU429">
        <v>2002</v>
      </c>
      <c r="AV429">
        <v>18</v>
      </c>
      <c r="AW429">
        <v>6</v>
      </c>
      <c r="AX429" t="s">
        <v>74</v>
      </c>
      <c r="AY429" t="s">
        <v>74</v>
      </c>
      <c r="AZ429" t="s">
        <v>74</v>
      </c>
      <c r="BA429" t="s">
        <v>74</v>
      </c>
      <c r="BB429">
        <v>455</v>
      </c>
      <c r="BC429">
        <v>473</v>
      </c>
      <c r="BD429" t="s">
        <v>74</v>
      </c>
      <c r="BE429" t="s">
        <v>6213</v>
      </c>
      <c r="BF429" t="str">
        <f>HYPERLINK("http://dx.doi.org/10.1007/s00382-001-0192-x","http://dx.doi.org/10.1007/s00382-001-0192-x")</f>
        <v>http://dx.doi.org/10.1007/s00382-001-0192-x</v>
      </c>
      <c r="BG429" t="s">
        <v>74</v>
      </c>
      <c r="BH429" t="s">
        <v>74</v>
      </c>
      <c r="BI429">
        <v>19</v>
      </c>
      <c r="BJ429" t="s">
        <v>403</v>
      </c>
      <c r="BK429" t="s">
        <v>170</v>
      </c>
      <c r="BL429" t="s">
        <v>403</v>
      </c>
      <c r="BM429" t="s">
        <v>6214</v>
      </c>
      <c r="BN429" t="s">
        <v>74</v>
      </c>
      <c r="BO429" t="s">
        <v>74</v>
      </c>
      <c r="BP429" t="s">
        <v>74</v>
      </c>
      <c r="BQ429" t="s">
        <v>74</v>
      </c>
      <c r="BR429" t="s">
        <v>107</v>
      </c>
      <c r="BS429" t="s">
        <v>6215</v>
      </c>
      <c r="BT429" t="str">
        <f>HYPERLINK("https%3A%2F%2Fwww.webofscience.com%2Fwos%2Fwoscc%2Ffull-record%2FWOS:000174678700001","View Full Record in Web of Science")</f>
        <v>View Full Record in Web of Science</v>
      </c>
    </row>
    <row r="430" spans="1:72" x14ac:dyDescent="0.15">
      <c r="A430" t="s">
        <v>72</v>
      </c>
      <c r="B430" t="s">
        <v>6216</v>
      </c>
      <c r="C430" t="s">
        <v>74</v>
      </c>
      <c r="D430" t="s">
        <v>74</v>
      </c>
      <c r="E430" t="s">
        <v>74</v>
      </c>
      <c r="F430" t="s">
        <v>6216</v>
      </c>
      <c r="G430" t="s">
        <v>74</v>
      </c>
      <c r="H430" t="s">
        <v>74</v>
      </c>
      <c r="I430" t="s">
        <v>6217</v>
      </c>
      <c r="J430" t="s">
        <v>1025</v>
      </c>
      <c r="K430" t="s">
        <v>74</v>
      </c>
      <c r="L430" t="s">
        <v>74</v>
      </c>
      <c r="M430" t="s">
        <v>77</v>
      </c>
      <c r="N430" t="s">
        <v>153</v>
      </c>
      <c r="O430" t="s">
        <v>74</v>
      </c>
      <c r="P430" t="s">
        <v>74</v>
      </c>
      <c r="Q430" t="s">
        <v>74</v>
      </c>
      <c r="R430" t="s">
        <v>74</v>
      </c>
      <c r="S430" t="s">
        <v>74</v>
      </c>
      <c r="T430" t="s">
        <v>74</v>
      </c>
      <c r="U430" t="s">
        <v>6218</v>
      </c>
      <c r="V430" t="s">
        <v>6219</v>
      </c>
      <c r="W430" t="s">
        <v>6220</v>
      </c>
      <c r="X430" t="s">
        <v>2048</v>
      </c>
      <c r="Y430" t="s">
        <v>6221</v>
      </c>
      <c r="Z430" t="s">
        <v>6222</v>
      </c>
      <c r="AA430" t="s">
        <v>6223</v>
      </c>
      <c r="AB430" t="s">
        <v>6224</v>
      </c>
      <c r="AC430" t="s">
        <v>74</v>
      </c>
      <c r="AD430" t="s">
        <v>74</v>
      </c>
      <c r="AE430" t="s">
        <v>74</v>
      </c>
      <c r="AF430" t="s">
        <v>74</v>
      </c>
      <c r="AG430">
        <v>73</v>
      </c>
      <c r="AH430">
        <v>46</v>
      </c>
      <c r="AI430">
        <v>47</v>
      </c>
      <c r="AJ430">
        <v>0</v>
      </c>
      <c r="AK430">
        <v>6</v>
      </c>
      <c r="AL430" t="s">
        <v>194</v>
      </c>
      <c r="AM430" t="s">
        <v>195</v>
      </c>
      <c r="AN430" t="s">
        <v>271</v>
      </c>
      <c r="AO430" t="s">
        <v>1033</v>
      </c>
      <c r="AP430" t="s">
        <v>2429</v>
      </c>
      <c r="AQ430" t="s">
        <v>74</v>
      </c>
      <c r="AR430" t="s">
        <v>1034</v>
      </c>
      <c r="AS430" t="s">
        <v>1035</v>
      </c>
      <c r="AT430" t="s">
        <v>5974</v>
      </c>
      <c r="AU430">
        <v>2002</v>
      </c>
      <c r="AV430">
        <v>18</v>
      </c>
      <c r="AW430">
        <v>6</v>
      </c>
      <c r="AX430" t="s">
        <v>74</v>
      </c>
      <c r="AY430" t="s">
        <v>74</v>
      </c>
      <c r="AZ430" t="s">
        <v>74</v>
      </c>
      <c r="BA430" t="s">
        <v>74</v>
      </c>
      <c r="BB430">
        <v>501</v>
      </c>
      <c r="BC430">
        <v>517</v>
      </c>
      <c r="BD430" t="s">
        <v>74</v>
      </c>
      <c r="BE430" t="s">
        <v>6225</v>
      </c>
      <c r="BF430" t="str">
        <f>HYPERLINK("http://dx.doi.org/10.1007/s00382-001-0190-z","http://dx.doi.org/10.1007/s00382-001-0190-z")</f>
        <v>http://dx.doi.org/10.1007/s00382-001-0190-z</v>
      </c>
      <c r="BG430" t="s">
        <v>74</v>
      </c>
      <c r="BH430" t="s">
        <v>74</v>
      </c>
      <c r="BI430">
        <v>17</v>
      </c>
      <c r="BJ430" t="s">
        <v>403</v>
      </c>
      <c r="BK430" t="s">
        <v>170</v>
      </c>
      <c r="BL430" t="s">
        <v>403</v>
      </c>
      <c r="BM430" t="s">
        <v>6214</v>
      </c>
      <c r="BN430" t="s">
        <v>74</v>
      </c>
      <c r="BO430" t="s">
        <v>74</v>
      </c>
      <c r="BP430" t="s">
        <v>74</v>
      </c>
      <c r="BQ430" t="s">
        <v>74</v>
      </c>
      <c r="BR430" t="s">
        <v>107</v>
      </c>
      <c r="BS430" t="s">
        <v>6226</v>
      </c>
      <c r="BT430" t="str">
        <f>HYPERLINK("https%3A%2F%2Fwww.webofscience.com%2Fwos%2Fwoscc%2Ffull-record%2FWOS:000174678700004","View Full Record in Web of Science")</f>
        <v>View Full Record in Web of Science</v>
      </c>
    </row>
    <row r="431" spans="1:72" x14ac:dyDescent="0.15">
      <c r="A431" t="s">
        <v>72</v>
      </c>
      <c r="B431" t="s">
        <v>6227</v>
      </c>
      <c r="C431" t="s">
        <v>74</v>
      </c>
      <c r="D431" t="s">
        <v>74</v>
      </c>
      <c r="E431" t="s">
        <v>74</v>
      </c>
      <c r="F431" t="s">
        <v>6227</v>
      </c>
      <c r="G431" t="s">
        <v>74</v>
      </c>
      <c r="H431" t="s">
        <v>74</v>
      </c>
      <c r="I431" t="s">
        <v>6228</v>
      </c>
      <c r="J431" t="s">
        <v>1025</v>
      </c>
      <c r="K431" t="s">
        <v>74</v>
      </c>
      <c r="L431" t="s">
        <v>74</v>
      </c>
      <c r="M431" t="s">
        <v>77</v>
      </c>
      <c r="N431" t="s">
        <v>153</v>
      </c>
      <c r="O431" t="s">
        <v>74</v>
      </c>
      <c r="P431" t="s">
        <v>74</v>
      </c>
      <c r="Q431" t="s">
        <v>74</v>
      </c>
      <c r="R431" t="s">
        <v>74</v>
      </c>
      <c r="S431" t="s">
        <v>74</v>
      </c>
      <c r="T431" t="s">
        <v>74</v>
      </c>
      <c r="U431" t="s">
        <v>6229</v>
      </c>
      <c r="V431" t="s">
        <v>6230</v>
      </c>
      <c r="W431" t="s">
        <v>6231</v>
      </c>
      <c r="X431" t="s">
        <v>6232</v>
      </c>
      <c r="Y431" t="s">
        <v>6233</v>
      </c>
      <c r="Z431" t="s">
        <v>74</v>
      </c>
      <c r="AA431" t="s">
        <v>6234</v>
      </c>
      <c r="AB431" t="s">
        <v>6235</v>
      </c>
      <c r="AC431" t="s">
        <v>74</v>
      </c>
      <c r="AD431" t="s">
        <v>74</v>
      </c>
      <c r="AE431" t="s">
        <v>74</v>
      </c>
      <c r="AF431" t="s">
        <v>74</v>
      </c>
      <c r="AG431">
        <v>22</v>
      </c>
      <c r="AH431">
        <v>7</v>
      </c>
      <c r="AI431">
        <v>7</v>
      </c>
      <c r="AJ431">
        <v>0</v>
      </c>
      <c r="AK431">
        <v>5</v>
      </c>
      <c r="AL431" t="s">
        <v>290</v>
      </c>
      <c r="AM431" t="s">
        <v>195</v>
      </c>
      <c r="AN431" t="s">
        <v>291</v>
      </c>
      <c r="AO431" t="s">
        <v>1033</v>
      </c>
      <c r="AP431" t="s">
        <v>74</v>
      </c>
      <c r="AQ431" t="s">
        <v>74</v>
      </c>
      <c r="AR431" t="s">
        <v>1034</v>
      </c>
      <c r="AS431" t="s">
        <v>1035</v>
      </c>
      <c r="AT431" t="s">
        <v>5974</v>
      </c>
      <c r="AU431">
        <v>2002</v>
      </c>
      <c r="AV431">
        <v>18</v>
      </c>
      <c r="AW431">
        <v>6</v>
      </c>
      <c r="AX431" t="s">
        <v>74</v>
      </c>
      <c r="AY431" t="s">
        <v>74</v>
      </c>
      <c r="AZ431" t="s">
        <v>74</v>
      </c>
      <c r="BA431" t="s">
        <v>74</v>
      </c>
      <c r="BB431">
        <v>533</v>
      </c>
      <c r="BC431">
        <v>543</v>
      </c>
      <c r="BD431" t="s">
        <v>74</v>
      </c>
      <c r="BE431" t="s">
        <v>6236</v>
      </c>
      <c r="BF431" t="str">
        <f>HYPERLINK("http://dx.doi.org/10.1007/s00382-001-0197-5","http://dx.doi.org/10.1007/s00382-001-0197-5")</f>
        <v>http://dx.doi.org/10.1007/s00382-001-0197-5</v>
      </c>
      <c r="BG431" t="s">
        <v>74</v>
      </c>
      <c r="BH431" t="s">
        <v>74</v>
      </c>
      <c r="BI431">
        <v>11</v>
      </c>
      <c r="BJ431" t="s">
        <v>403</v>
      </c>
      <c r="BK431" t="s">
        <v>170</v>
      </c>
      <c r="BL431" t="s">
        <v>403</v>
      </c>
      <c r="BM431" t="s">
        <v>6214</v>
      </c>
      <c r="BN431" t="s">
        <v>74</v>
      </c>
      <c r="BO431" t="s">
        <v>74</v>
      </c>
      <c r="BP431" t="s">
        <v>74</v>
      </c>
      <c r="BQ431" t="s">
        <v>74</v>
      </c>
      <c r="BR431" t="s">
        <v>107</v>
      </c>
      <c r="BS431" t="s">
        <v>6237</v>
      </c>
      <c r="BT431" t="str">
        <f>HYPERLINK("https%3A%2F%2Fwww.webofscience.com%2Fwos%2Fwoscc%2Ffull-record%2FWOS:000174678700006","View Full Record in Web of Science")</f>
        <v>View Full Record in Web of Science</v>
      </c>
    </row>
    <row r="432" spans="1:72" x14ac:dyDescent="0.15">
      <c r="A432" t="s">
        <v>72</v>
      </c>
      <c r="B432" t="s">
        <v>6238</v>
      </c>
      <c r="C432" t="s">
        <v>74</v>
      </c>
      <c r="D432" t="s">
        <v>74</v>
      </c>
      <c r="E432" t="s">
        <v>74</v>
      </c>
      <c r="F432" t="s">
        <v>6238</v>
      </c>
      <c r="G432" t="s">
        <v>74</v>
      </c>
      <c r="H432" t="s">
        <v>74</v>
      </c>
      <c r="I432" t="s">
        <v>6239</v>
      </c>
      <c r="J432" t="s">
        <v>6240</v>
      </c>
      <c r="K432" t="s">
        <v>74</v>
      </c>
      <c r="L432" t="s">
        <v>74</v>
      </c>
      <c r="M432" t="s">
        <v>77</v>
      </c>
      <c r="N432" t="s">
        <v>153</v>
      </c>
      <c r="O432" t="s">
        <v>74</v>
      </c>
      <c r="P432" t="s">
        <v>74</v>
      </c>
      <c r="Q432" t="s">
        <v>74</v>
      </c>
      <c r="R432" t="s">
        <v>74</v>
      </c>
      <c r="S432" t="s">
        <v>74</v>
      </c>
      <c r="T432" t="s">
        <v>74</v>
      </c>
      <c r="U432" t="s">
        <v>6241</v>
      </c>
      <c r="V432" t="s">
        <v>6242</v>
      </c>
      <c r="W432" t="s">
        <v>6243</v>
      </c>
      <c r="X432" t="s">
        <v>4942</v>
      </c>
      <c r="Y432" t="s">
        <v>6244</v>
      </c>
      <c r="Z432" t="s">
        <v>74</v>
      </c>
      <c r="AA432" t="s">
        <v>74</v>
      </c>
      <c r="AB432" t="s">
        <v>74</v>
      </c>
      <c r="AC432" t="s">
        <v>74</v>
      </c>
      <c r="AD432" t="s">
        <v>74</v>
      </c>
      <c r="AE432" t="s">
        <v>74</v>
      </c>
      <c r="AF432" t="s">
        <v>74</v>
      </c>
      <c r="AG432">
        <v>36</v>
      </c>
      <c r="AH432">
        <v>128</v>
      </c>
      <c r="AI432">
        <v>144</v>
      </c>
      <c r="AJ432">
        <v>1</v>
      </c>
      <c r="AK432">
        <v>27</v>
      </c>
      <c r="AL432" t="s">
        <v>1809</v>
      </c>
      <c r="AM432" t="s">
        <v>1251</v>
      </c>
      <c r="AN432" t="s">
        <v>1252</v>
      </c>
      <c r="AO432" t="s">
        <v>6245</v>
      </c>
      <c r="AP432" t="s">
        <v>74</v>
      </c>
      <c r="AQ432" t="s">
        <v>74</v>
      </c>
      <c r="AR432" t="s">
        <v>6240</v>
      </c>
      <c r="AS432" t="s">
        <v>6246</v>
      </c>
      <c r="AT432" t="s">
        <v>5974</v>
      </c>
      <c r="AU432">
        <v>2002</v>
      </c>
      <c r="AV432">
        <v>52</v>
      </c>
      <c r="AW432">
        <v>3</v>
      </c>
      <c r="AX432" t="s">
        <v>74</v>
      </c>
      <c r="AY432" t="s">
        <v>74</v>
      </c>
      <c r="AZ432" t="s">
        <v>74</v>
      </c>
      <c r="BA432" t="s">
        <v>74</v>
      </c>
      <c r="BB432">
        <v>345</v>
      </c>
      <c r="BC432">
        <v>357</v>
      </c>
      <c r="BD432" t="s">
        <v>74</v>
      </c>
      <c r="BE432" t="s">
        <v>6247</v>
      </c>
      <c r="BF432" t="str">
        <f>HYPERLINK("http://dx.doi.org/10.1023/A:1013718617277","http://dx.doi.org/10.1023/A:1013718617277")</f>
        <v>http://dx.doi.org/10.1023/A:1013718617277</v>
      </c>
      <c r="BG432" t="s">
        <v>74</v>
      </c>
      <c r="BH432" t="s">
        <v>74</v>
      </c>
      <c r="BI432">
        <v>13</v>
      </c>
      <c r="BJ432" t="s">
        <v>2358</v>
      </c>
      <c r="BK432" t="s">
        <v>170</v>
      </c>
      <c r="BL432" t="s">
        <v>2359</v>
      </c>
      <c r="BM432" t="s">
        <v>6248</v>
      </c>
      <c r="BN432" t="s">
        <v>74</v>
      </c>
      <c r="BO432" t="s">
        <v>74</v>
      </c>
      <c r="BP432" t="s">
        <v>74</v>
      </c>
      <c r="BQ432" t="s">
        <v>74</v>
      </c>
      <c r="BR432" t="s">
        <v>107</v>
      </c>
      <c r="BS432" t="s">
        <v>6249</v>
      </c>
      <c r="BT432" t="str">
        <f>HYPERLINK("https%3A%2F%2Fwww.webofscience.com%2Fwos%2Fwoscc%2Ffull-record%2FWOS:000173206800006","View Full Record in Web of Science")</f>
        <v>View Full Record in Web of Science</v>
      </c>
    </row>
    <row r="433" spans="1:72" x14ac:dyDescent="0.15">
      <c r="A433" t="s">
        <v>72</v>
      </c>
      <c r="B433" t="s">
        <v>6250</v>
      </c>
      <c r="C433" t="s">
        <v>74</v>
      </c>
      <c r="D433" t="s">
        <v>74</v>
      </c>
      <c r="E433" t="s">
        <v>74</v>
      </c>
      <c r="F433" t="s">
        <v>6250</v>
      </c>
      <c r="G433" t="s">
        <v>74</v>
      </c>
      <c r="H433" t="s">
        <v>74</v>
      </c>
      <c r="I433" t="s">
        <v>6251</v>
      </c>
      <c r="J433" t="s">
        <v>3754</v>
      </c>
      <c r="K433" t="s">
        <v>74</v>
      </c>
      <c r="L433" t="s">
        <v>74</v>
      </c>
      <c r="M433" t="s">
        <v>77</v>
      </c>
      <c r="N433" t="s">
        <v>153</v>
      </c>
      <c r="O433" t="s">
        <v>74</v>
      </c>
      <c r="P433" t="s">
        <v>74</v>
      </c>
      <c r="Q433" t="s">
        <v>74</v>
      </c>
      <c r="R433" t="s">
        <v>74</v>
      </c>
      <c r="S433" t="s">
        <v>74</v>
      </c>
      <c r="T433" t="s">
        <v>6252</v>
      </c>
      <c r="U433" t="s">
        <v>6253</v>
      </c>
      <c r="V433" t="s">
        <v>6254</v>
      </c>
      <c r="W433" t="s">
        <v>6255</v>
      </c>
      <c r="X433" t="s">
        <v>6256</v>
      </c>
      <c r="Y433" t="s">
        <v>6257</v>
      </c>
      <c r="Z433" t="s">
        <v>6258</v>
      </c>
      <c r="AA433" t="s">
        <v>74</v>
      </c>
      <c r="AB433" t="s">
        <v>74</v>
      </c>
      <c r="AC433" t="s">
        <v>74</v>
      </c>
      <c r="AD433" t="s">
        <v>74</v>
      </c>
      <c r="AE433" t="s">
        <v>74</v>
      </c>
      <c r="AF433" t="s">
        <v>74</v>
      </c>
      <c r="AG433">
        <v>53</v>
      </c>
      <c r="AH433">
        <v>25</v>
      </c>
      <c r="AI433">
        <v>28</v>
      </c>
      <c r="AJ433">
        <v>0</v>
      </c>
      <c r="AK433">
        <v>7</v>
      </c>
      <c r="AL433" t="s">
        <v>1068</v>
      </c>
      <c r="AM433" t="s">
        <v>195</v>
      </c>
      <c r="AN433" t="s">
        <v>1069</v>
      </c>
      <c r="AO433" t="s">
        <v>1070</v>
      </c>
      <c r="AP433" t="s">
        <v>3766</v>
      </c>
      <c r="AQ433" t="s">
        <v>74</v>
      </c>
      <c r="AR433" t="s">
        <v>1071</v>
      </c>
      <c r="AS433" t="s">
        <v>1072</v>
      </c>
      <c r="AT433" t="s">
        <v>5974</v>
      </c>
      <c r="AU433">
        <v>2002</v>
      </c>
      <c r="AV433">
        <v>131</v>
      </c>
      <c r="AW433">
        <v>2</v>
      </c>
      <c r="AX433" t="s">
        <v>74</v>
      </c>
      <c r="AY433" t="s">
        <v>74</v>
      </c>
      <c r="AZ433" t="s">
        <v>74</v>
      </c>
      <c r="BA433" t="s">
        <v>74</v>
      </c>
      <c r="BB433">
        <v>363</v>
      </c>
      <c r="BC433">
        <v>374</v>
      </c>
      <c r="BD433" t="s">
        <v>74</v>
      </c>
      <c r="BE433" t="s">
        <v>6259</v>
      </c>
      <c r="BF433" t="str">
        <f>HYPERLINK("http://dx.doi.org/10.1016/S1095-6433(01)00488-3","http://dx.doi.org/10.1016/S1095-6433(01)00488-3")</f>
        <v>http://dx.doi.org/10.1016/S1095-6433(01)00488-3</v>
      </c>
      <c r="BG433" t="s">
        <v>74</v>
      </c>
      <c r="BH433" t="s">
        <v>74</v>
      </c>
      <c r="BI433">
        <v>12</v>
      </c>
      <c r="BJ433" t="s">
        <v>1075</v>
      </c>
      <c r="BK433" t="s">
        <v>170</v>
      </c>
      <c r="BL433" t="s">
        <v>1075</v>
      </c>
      <c r="BM433" t="s">
        <v>6260</v>
      </c>
      <c r="BN433">
        <v>11818225</v>
      </c>
      <c r="BO433" t="s">
        <v>74</v>
      </c>
      <c r="BP433" t="s">
        <v>74</v>
      </c>
      <c r="BQ433" t="s">
        <v>74</v>
      </c>
      <c r="BR433" t="s">
        <v>107</v>
      </c>
      <c r="BS433" t="s">
        <v>6261</v>
      </c>
      <c r="BT433" t="str">
        <f>HYPERLINK("https%3A%2F%2Fwww.webofscience.com%2Fwos%2Fwoscc%2Ffull-record%2FWOS:000173822400013","View Full Record in Web of Science")</f>
        <v>View Full Record in Web of Science</v>
      </c>
    </row>
    <row r="434" spans="1:72" x14ac:dyDescent="0.15">
      <c r="A434" t="s">
        <v>72</v>
      </c>
      <c r="B434" t="s">
        <v>6262</v>
      </c>
      <c r="C434" t="s">
        <v>74</v>
      </c>
      <c r="D434" t="s">
        <v>74</v>
      </c>
      <c r="E434" t="s">
        <v>74</v>
      </c>
      <c r="F434" t="s">
        <v>6262</v>
      </c>
      <c r="G434" t="s">
        <v>74</v>
      </c>
      <c r="H434" t="s">
        <v>74</v>
      </c>
      <c r="I434" t="s">
        <v>6263</v>
      </c>
      <c r="J434" t="s">
        <v>6264</v>
      </c>
      <c r="K434" t="s">
        <v>74</v>
      </c>
      <c r="L434" t="s">
        <v>74</v>
      </c>
      <c r="M434" t="s">
        <v>77</v>
      </c>
      <c r="N434" t="s">
        <v>153</v>
      </c>
      <c r="O434" t="s">
        <v>74</v>
      </c>
      <c r="P434" t="s">
        <v>74</v>
      </c>
      <c r="Q434" t="s">
        <v>74</v>
      </c>
      <c r="R434" t="s">
        <v>74</v>
      </c>
      <c r="S434" t="s">
        <v>74</v>
      </c>
      <c r="T434" t="s">
        <v>6265</v>
      </c>
      <c r="U434" t="s">
        <v>6266</v>
      </c>
      <c r="V434" t="s">
        <v>6267</v>
      </c>
      <c r="W434" t="s">
        <v>6268</v>
      </c>
      <c r="X434" t="s">
        <v>6269</v>
      </c>
      <c r="Y434" t="s">
        <v>6270</v>
      </c>
      <c r="Z434" t="s">
        <v>6271</v>
      </c>
      <c r="AA434" t="s">
        <v>74</v>
      </c>
      <c r="AB434" t="s">
        <v>6272</v>
      </c>
      <c r="AC434" t="s">
        <v>74</v>
      </c>
      <c r="AD434" t="s">
        <v>74</v>
      </c>
      <c r="AE434" t="s">
        <v>74</v>
      </c>
      <c r="AF434" t="s">
        <v>74</v>
      </c>
      <c r="AG434">
        <v>51</v>
      </c>
      <c r="AH434">
        <v>20</v>
      </c>
      <c r="AI434">
        <v>23</v>
      </c>
      <c r="AJ434">
        <v>1</v>
      </c>
      <c r="AK434">
        <v>18</v>
      </c>
      <c r="AL434" t="s">
        <v>6273</v>
      </c>
      <c r="AM434" t="s">
        <v>6274</v>
      </c>
      <c r="AN434" t="s">
        <v>6275</v>
      </c>
      <c r="AO434" t="s">
        <v>6276</v>
      </c>
      <c r="AP434" t="s">
        <v>6277</v>
      </c>
      <c r="AQ434" t="s">
        <v>74</v>
      </c>
      <c r="AR434" t="s">
        <v>6264</v>
      </c>
      <c r="AS434" t="s">
        <v>6278</v>
      </c>
      <c r="AT434" t="s">
        <v>5974</v>
      </c>
      <c r="AU434">
        <v>2002</v>
      </c>
      <c r="AV434">
        <v>104</v>
      </c>
      <c r="AW434">
        <v>1</v>
      </c>
      <c r="AX434" t="s">
        <v>74</v>
      </c>
      <c r="AY434" t="s">
        <v>74</v>
      </c>
      <c r="AZ434" t="s">
        <v>74</v>
      </c>
      <c r="BA434" t="s">
        <v>74</v>
      </c>
      <c r="BB434">
        <v>12</v>
      </c>
      <c r="BC434">
        <v>29</v>
      </c>
      <c r="BD434" t="s">
        <v>74</v>
      </c>
      <c r="BE434" t="s">
        <v>6279</v>
      </c>
      <c r="BF434" t="str">
        <f>HYPERLINK("http://dx.doi.org/10.1650/0010-5422(2002)104[0012:PAGROS]2.0.CO;2","http://dx.doi.org/10.1650/0010-5422(2002)104[0012:PAGROS]2.0.CO;2")</f>
        <v>http://dx.doi.org/10.1650/0010-5422(2002)104[0012:PAGROS]2.0.CO;2</v>
      </c>
      <c r="BG434" t="s">
        <v>74</v>
      </c>
      <c r="BH434" t="s">
        <v>74</v>
      </c>
      <c r="BI434">
        <v>18</v>
      </c>
      <c r="BJ434" t="s">
        <v>4072</v>
      </c>
      <c r="BK434" t="s">
        <v>170</v>
      </c>
      <c r="BL434" t="s">
        <v>1001</v>
      </c>
      <c r="BM434" t="s">
        <v>6280</v>
      </c>
      <c r="BN434" t="s">
        <v>74</v>
      </c>
      <c r="BO434" t="s">
        <v>173</v>
      </c>
      <c r="BP434" t="s">
        <v>74</v>
      </c>
      <c r="BQ434" t="s">
        <v>74</v>
      </c>
      <c r="BR434" t="s">
        <v>107</v>
      </c>
      <c r="BS434" t="s">
        <v>6281</v>
      </c>
      <c r="BT434" t="str">
        <f>HYPERLINK("https%3A%2F%2Fwww.webofscience.com%2Fwos%2Fwoscc%2Ffull-record%2FWOS:000179348100002","View Full Record in Web of Science")</f>
        <v>View Full Record in Web of Science</v>
      </c>
    </row>
    <row r="435" spans="1:72" x14ac:dyDescent="0.15">
      <c r="A435" t="s">
        <v>72</v>
      </c>
      <c r="B435" t="s">
        <v>6282</v>
      </c>
      <c r="C435" t="s">
        <v>74</v>
      </c>
      <c r="D435" t="s">
        <v>74</v>
      </c>
      <c r="E435" t="s">
        <v>74</v>
      </c>
      <c r="F435" t="s">
        <v>6282</v>
      </c>
      <c r="G435" t="s">
        <v>74</v>
      </c>
      <c r="H435" t="s">
        <v>74</v>
      </c>
      <c r="I435" t="s">
        <v>6283</v>
      </c>
      <c r="J435" t="s">
        <v>1139</v>
      </c>
      <c r="K435" t="s">
        <v>74</v>
      </c>
      <c r="L435" t="s">
        <v>74</v>
      </c>
      <c r="M435" t="s">
        <v>77</v>
      </c>
      <c r="N435" t="s">
        <v>153</v>
      </c>
      <c r="O435" t="s">
        <v>74</v>
      </c>
      <c r="P435" t="s">
        <v>74</v>
      </c>
      <c r="Q435" t="s">
        <v>74</v>
      </c>
      <c r="R435" t="s">
        <v>74</v>
      </c>
      <c r="S435" t="s">
        <v>74</v>
      </c>
      <c r="T435" t="s">
        <v>6284</v>
      </c>
      <c r="U435" t="s">
        <v>6285</v>
      </c>
      <c r="V435" t="s">
        <v>6286</v>
      </c>
      <c r="W435" t="s">
        <v>6287</v>
      </c>
      <c r="X435" t="s">
        <v>6288</v>
      </c>
      <c r="Y435" t="s">
        <v>6289</v>
      </c>
      <c r="Z435" t="s">
        <v>74</v>
      </c>
      <c r="AA435" t="s">
        <v>74</v>
      </c>
      <c r="AB435" t="s">
        <v>74</v>
      </c>
      <c r="AC435" t="s">
        <v>74</v>
      </c>
      <c r="AD435" t="s">
        <v>74</v>
      </c>
      <c r="AE435" t="s">
        <v>74</v>
      </c>
      <c r="AF435" t="s">
        <v>74</v>
      </c>
      <c r="AG435">
        <v>22</v>
      </c>
      <c r="AH435">
        <v>112</v>
      </c>
      <c r="AI435">
        <v>133</v>
      </c>
      <c r="AJ435">
        <v>1</v>
      </c>
      <c r="AK435">
        <v>10</v>
      </c>
      <c r="AL435" t="s">
        <v>1013</v>
      </c>
      <c r="AM435" t="s">
        <v>895</v>
      </c>
      <c r="AN435" t="s">
        <v>1014</v>
      </c>
      <c r="AO435" t="s">
        <v>1149</v>
      </c>
      <c r="AP435" t="s">
        <v>74</v>
      </c>
      <c r="AQ435" t="s">
        <v>74</v>
      </c>
      <c r="AR435" t="s">
        <v>1151</v>
      </c>
      <c r="AS435" t="s">
        <v>1152</v>
      </c>
      <c r="AT435" t="s">
        <v>5974</v>
      </c>
      <c r="AU435">
        <v>2002</v>
      </c>
      <c r="AV435">
        <v>49</v>
      </c>
      <c r="AW435">
        <v>2</v>
      </c>
      <c r="AX435" t="s">
        <v>74</v>
      </c>
      <c r="AY435" t="s">
        <v>74</v>
      </c>
      <c r="AZ435" t="s">
        <v>74</v>
      </c>
      <c r="BA435" t="s">
        <v>74</v>
      </c>
      <c r="BB435">
        <v>267</v>
      </c>
      <c r="BC435">
        <v>280</v>
      </c>
      <c r="BD435" t="s">
        <v>74</v>
      </c>
      <c r="BE435" t="s">
        <v>6290</v>
      </c>
      <c r="BF435" t="str">
        <f>HYPERLINK("http://dx.doi.org/10.1016/S0967-0637(01)00062-0","http://dx.doi.org/10.1016/S0967-0637(01)00062-0")</f>
        <v>http://dx.doi.org/10.1016/S0967-0637(01)00062-0</v>
      </c>
      <c r="BG435" t="s">
        <v>74</v>
      </c>
      <c r="BH435" t="s">
        <v>74</v>
      </c>
      <c r="BI435">
        <v>14</v>
      </c>
      <c r="BJ435" t="s">
        <v>1155</v>
      </c>
      <c r="BK435" t="s">
        <v>170</v>
      </c>
      <c r="BL435" t="s">
        <v>1155</v>
      </c>
      <c r="BM435" t="s">
        <v>6291</v>
      </c>
      <c r="BN435" t="s">
        <v>74</v>
      </c>
      <c r="BO435" t="s">
        <v>74</v>
      </c>
      <c r="BP435" t="s">
        <v>74</v>
      </c>
      <c r="BQ435" t="s">
        <v>74</v>
      </c>
      <c r="BR435" t="s">
        <v>107</v>
      </c>
      <c r="BS435" t="s">
        <v>6292</v>
      </c>
      <c r="BT435" t="str">
        <f>HYPERLINK("https%3A%2F%2Fwww.webofscience.com%2Fwos%2Fwoscc%2Ffull-record%2FWOS:000173568900003","View Full Record in Web of Science")</f>
        <v>View Full Record in Web of Science</v>
      </c>
    </row>
    <row r="436" spans="1:72" x14ac:dyDescent="0.15">
      <c r="A436" t="s">
        <v>72</v>
      </c>
      <c r="B436" t="s">
        <v>6293</v>
      </c>
      <c r="C436" t="s">
        <v>74</v>
      </c>
      <c r="D436" t="s">
        <v>74</v>
      </c>
      <c r="E436" t="s">
        <v>74</v>
      </c>
      <c r="F436" t="s">
        <v>6293</v>
      </c>
      <c r="G436" t="s">
        <v>74</v>
      </c>
      <c r="H436" t="s">
        <v>74</v>
      </c>
      <c r="I436" t="s">
        <v>6294</v>
      </c>
      <c r="J436" t="s">
        <v>1139</v>
      </c>
      <c r="K436" t="s">
        <v>74</v>
      </c>
      <c r="L436" t="s">
        <v>74</v>
      </c>
      <c r="M436" t="s">
        <v>77</v>
      </c>
      <c r="N436" t="s">
        <v>153</v>
      </c>
      <c r="O436" t="s">
        <v>74</v>
      </c>
      <c r="P436" t="s">
        <v>74</v>
      </c>
      <c r="Q436" t="s">
        <v>74</v>
      </c>
      <c r="R436" t="s">
        <v>74</v>
      </c>
      <c r="S436" t="s">
        <v>74</v>
      </c>
      <c r="T436" t="s">
        <v>6295</v>
      </c>
      <c r="U436" t="s">
        <v>6296</v>
      </c>
      <c r="V436" t="s">
        <v>6297</v>
      </c>
      <c r="W436" t="s">
        <v>6298</v>
      </c>
      <c r="X436" t="s">
        <v>6299</v>
      </c>
      <c r="Y436" t="s">
        <v>6300</v>
      </c>
      <c r="Z436" t="s">
        <v>74</v>
      </c>
      <c r="AA436" t="s">
        <v>6301</v>
      </c>
      <c r="AB436" t="s">
        <v>6302</v>
      </c>
      <c r="AC436" t="s">
        <v>74</v>
      </c>
      <c r="AD436" t="s">
        <v>74</v>
      </c>
      <c r="AE436" t="s">
        <v>74</v>
      </c>
      <c r="AF436" t="s">
        <v>74</v>
      </c>
      <c r="AG436">
        <v>49</v>
      </c>
      <c r="AH436">
        <v>16</v>
      </c>
      <c r="AI436">
        <v>18</v>
      </c>
      <c r="AJ436">
        <v>1</v>
      </c>
      <c r="AK436">
        <v>5</v>
      </c>
      <c r="AL436" t="s">
        <v>1013</v>
      </c>
      <c r="AM436" t="s">
        <v>895</v>
      </c>
      <c r="AN436" t="s">
        <v>1014</v>
      </c>
      <c r="AO436" t="s">
        <v>1149</v>
      </c>
      <c r="AP436" t="s">
        <v>74</v>
      </c>
      <c r="AQ436" t="s">
        <v>74</v>
      </c>
      <c r="AR436" t="s">
        <v>1151</v>
      </c>
      <c r="AS436" t="s">
        <v>1152</v>
      </c>
      <c r="AT436" t="s">
        <v>5974</v>
      </c>
      <c r="AU436">
        <v>2002</v>
      </c>
      <c r="AV436">
        <v>49</v>
      </c>
      <c r="AW436">
        <v>2</v>
      </c>
      <c r="AX436" t="s">
        <v>74</v>
      </c>
      <c r="AY436" t="s">
        <v>74</v>
      </c>
      <c r="AZ436" t="s">
        <v>74</v>
      </c>
      <c r="BA436" t="s">
        <v>74</v>
      </c>
      <c r="BB436">
        <v>281</v>
      </c>
      <c r="BC436">
        <v>304</v>
      </c>
      <c r="BD436" t="s">
        <v>74</v>
      </c>
      <c r="BE436" t="s">
        <v>6303</v>
      </c>
      <c r="BF436" t="str">
        <f>HYPERLINK("http://dx.doi.org/10.1016/S0967-0637(01)00053-X","http://dx.doi.org/10.1016/S0967-0637(01)00053-X")</f>
        <v>http://dx.doi.org/10.1016/S0967-0637(01)00053-X</v>
      </c>
      <c r="BG436" t="s">
        <v>74</v>
      </c>
      <c r="BH436" t="s">
        <v>74</v>
      </c>
      <c r="BI436">
        <v>24</v>
      </c>
      <c r="BJ436" t="s">
        <v>1155</v>
      </c>
      <c r="BK436" t="s">
        <v>170</v>
      </c>
      <c r="BL436" t="s">
        <v>1155</v>
      </c>
      <c r="BM436" t="s">
        <v>6291</v>
      </c>
      <c r="BN436" t="s">
        <v>74</v>
      </c>
      <c r="BO436" t="s">
        <v>74</v>
      </c>
      <c r="BP436" t="s">
        <v>74</v>
      </c>
      <c r="BQ436" t="s">
        <v>74</v>
      </c>
      <c r="BR436" t="s">
        <v>107</v>
      </c>
      <c r="BS436" t="s">
        <v>6304</v>
      </c>
      <c r="BT436" t="str">
        <f>HYPERLINK("https%3A%2F%2Fwww.webofscience.com%2Fwos%2Fwoscc%2Ffull-record%2FWOS:000173568900004","View Full Record in Web of Science")</f>
        <v>View Full Record in Web of Science</v>
      </c>
    </row>
    <row r="437" spans="1:72" x14ac:dyDescent="0.15">
      <c r="A437" t="s">
        <v>72</v>
      </c>
      <c r="B437" t="s">
        <v>6305</v>
      </c>
      <c r="C437" t="s">
        <v>74</v>
      </c>
      <c r="D437" t="s">
        <v>74</v>
      </c>
      <c r="E437" t="s">
        <v>74</v>
      </c>
      <c r="F437" t="s">
        <v>6305</v>
      </c>
      <c r="G437" t="s">
        <v>74</v>
      </c>
      <c r="H437" t="s">
        <v>74</v>
      </c>
      <c r="I437" t="s">
        <v>6306</v>
      </c>
      <c r="J437" t="s">
        <v>6307</v>
      </c>
      <c r="K437" t="s">
        <v>74</v>
      </c>
      <c r="L437" t="s">
        <v>74</v>
      </c>
      <c r="M437" t="s">
        <v>77</v>
      </c>
      <c r="N437" t="s">
        <v>153</v>
      </c>
      <c r="O437" t="s">
        <v>74</v>
      </c>
      <c r="P437" t="s">
        <v>74</v>
      </c>
      <c r="Q437" t="s">
        <v>74</v>
      </c>
      <c r="R437" t="s">
        <v>74</v>
      </c>
      <c r="S437" t="s">
        <v>74</v>
      </c>
      <c r="T437" t="s">
        <v>6308</v>
      </c>
      <c r="U437" t="s">
        <v>6309</v>
      </c>
      <c r="V437" t="s">
        <v>6310</v>
      </c>
      <c r="W437" t="s">
        <v>6311</v>
      </c>
      <c r="X437" t="s">
        <v>6312</v>
      </c>
      <c r="Y437" t="s">
        <v>6313</v>
      </c>
      <c r="Z437" t="s">
        <v>74</v>
      </c>
      <c r="AA437" t="s">
        <v>6314</v>
      </c>
      <c r="AB437" t="s">
        <v>74</v>
      </c>
      <c r="AC437" t="s">
        <v>74</v>
      </c>
      <c r="AD437" t="s">
        <v>74</v>
      </c>
      <c r="AE437" t="s">
        <v>74</v>
      </c>
      <c r="AF437" t="s">
        <v>74</v>
      </c>
      <c r="AG437">
        <v>71</v>
      </c>
      <c r="AH437">
        <v>84</v>
      </c>
      <c r="AI437">
        <v>91</v>
      </c>
      <c r="AJ437">
        <v>1</v>
      </c>
      <c r="AK437">
        <v>28</v>
      </c>
      <c r="AL437" t="s">
        <v>6315</v>
      </c>
      <c r="AM437" t="s">
        <v>162</v>
      </c>
      <c r="AN437" t="s">
        <v>6316</v>
      </c>
      <c r="AO437" t="s">
        <v>6317</v>
      </c>
      <c r="AP437" t="s">
        <v>74</v>
      </c>
      <c r="AQ437" t="s">
        <v>74</v>
      </c>
      <c r="AR437" t="s">
        <v>6307</v>
      </c>
      <c r="AS437" t="s">
        <v>3878</v>
      </c>
      <c r="AT437" t="s">
        <v>5974</v>
      </c>
      <c r="AU437">
        <v>2002</v>
      </c>
      <c r="AV437">
        <v>83</v>
      </c>
      <c r="AW437">
        <v>2</v>
      </c>
      <c r="AX437" t="s">
        <v>74</v>
      </c>
      <c r="AY437" t="s">
        <v>74</v>
      </c>
      <c r="AZ437" t="s">
        <v>74</v>
      </c>
      <c r="BA437" t="s">
        <v>74</v>
      </c>
      <c r="BB437">
        <v>423</v>
      </c>
      <c r="BC437">
        <v>435</v>
      </c>
      <c r="BD437" t="s">
        <v>74</v>
      </c>
      <c r="BE437" t="s">
        <v>6318</v>
      </c>
      <c r="BF437" t="str">
        <f>HYPERLINK("http://dx.doi.org/10.1890/0012-9658(2002)083[0423:JEOURA]2.0.CO;2","http://dx.doi.org/10.1890/0012-9658(2002)083[0423:JEOURA]2.0.CO;2")</f>
        <v>http://dx.doi.org/10.1890/0012-9658(2002)083[0423:JEOURA]2.0.CO;2</v>
      </c>
      <c r="BG437" t="s">
        <v>74</v>
      </c>
      <c r="BH437" t="s">
        <v>74</v>
      </c>
      <c r="BI437">
        <v>13</v>
      </c>
      <c r="BJ437" t="s">
        <v>3878</v>
      </c>
      <c r="BK437" t="s">
        <v>170</v>
      </c>
      <c r="BL437" t="s">
        <v>1020</v>
      </c>
      <c r="BM437" t="s">
        <v>6319</v>
      </c>
      <c r="BN437" t="s">
        <v>74</v>
      </c>
      <c r="BO437" t="s">
        <v>74</v>
      </c>
      <c r="BP437" t="s">
        <v>74</v>
      </c>
      <c r="BQ437" t="s">
        <v>74</v>
      </c>
      <c r="BR437" t="s">
        <v>107</v>
      </c>
      <c r="BS437" t="s">
        <v>6320</v>
      </c>
      <c r="BT437" t="str">
        <f>HYPERLINK("https%3A%2F%2Fwww.webofscience.com%2Fwos%2Fwoscc%2Ffull-record%2FWOS:000173538800012","View Full Record in Web of Science")</f>
        <v>View Full Record in Web of Science</v>
      </c>
    </row>
    <row r="438" spans="1:72" x14ac:dyDescent="0.15">
      <c r="A438" t="s">
        <v>72</v>
      </c>
      <c r="B438" t="s">
        <v>6321</v>
      </c>
      <c r="C438" t="s">
        <v>74</v>
      </c>
      <c r="D438" t="s">
        <v>74</v>
      </c>
      <c r="E438" t="s">
        <v>74</v>
      </c>
      <c r="F438" t="s">
        <v>6321</v>
      </c>
      <c r="G438" t="s">
        <v>74</v>
      </c>
      <c r="H438" t="s">
        <v>74</v>
      </c>
      <c r="I438" t="s">
        <v>6322</v>
      </c>
      <c r="J438" t="s">
        <v>6323</v>
      </c>
      <c r="K438" t="s">
        <v>74</v>
      </c>
      <c r="L438" t="s">
        <v>74</v>
      </c>
      <c r="M438" t="s">
        <v>77</v>
      </c>
      <c r="N438" t="s">
        <v>153</v>
      </c>
      <c r="O438" t="s">
        <v>74</v>
      </c>
      <c r="P438" t="s">
        <v>74</v>
      </c>
      <c r="Q438" t="s">
        <v>74</v>
      </c>
      <c r="R438" t="s">
        <v>74</v>
      </c>
      <c r="S438" t="s">
        <v>74</v>
      </c>
      <c r="T438" t="s">
        <v>6324</v>
      </c>
      <c r="U438" t="s">
        <v>6325</v>
      </c>
      <c r="V438" t="s">
        <v>6326</v>
      </c>
      <c r="W438" t="s">
        <v>6327</v>
      </c>
      <c r="X438" t="s">
        <v>6328</v>
      </c>
      <c r="Y438" t="s">
        <v>6329</v>
      </c>
      <c r="Z438" t="s">
        <v>6330</v>
      </c>
      <c r="AA438" t="s">
        <v>6331</v>
      </c>
      <c r="AB438" t="s">
        <v>6332</v>
      </c>
      <c r="AC438" t="s">
        <v>74</v>
      </c>
      <c r="AD438" t="s">
        <v>74</v>
      </c>
      <c r="AE438" t="s">
        <v>74</v>
      </c>
      <c r="AF438" t="s">
        <v>74</v>
      </c>
      <c r="AG438">
        <v>60</v>
      </c>
      <c r="AH438">
        <v>23</v>
      </c>
      <c r="AI438">
        <v>27</v>
      </c>
      <c r="AJ438">
        <v>0</v>
      </c>
      <c r="AK438">
        <v>16</v>
      </c>
      <c r="AL438" t="s">
        <v>394</v>
      </c>
      <c r="AM438" t="s">
        <v>395</v>
      </c>
      <c r="AN438" t="s">
        <v>396</v>
      </c>
      <c r="AO438" t="s">
        <v>6333</v>
      </c>
      <c r="AP438" t="s">
        <v>6334</v>
      </c>
      <c r="AQ438" t="s">
        <v>74</v>
      </c>
      <c r="AR438" t="s">
        <v>6335</v>
      </c>
      <c r="AS438" t="s">
        <v>6336</v>
      </c>
      <c r="AT438" t="s">
        <v>5974</v>
      </c>
      <c r="AU438">
        <v>2002</v>
      </c>
      <c r="AV438">
        <v>21</v>
      </c>
      <c r="AW438">
        <v>2</v>
      </c>
      <c r="AX438" t="s">
        <v>74</v>
      </c>
      <c r="AY438" t="s">
        <v>74</v>
      </c>
      <c r="AZ438" t="s">
        <v>74</v>
      </c>
      <c r="BA438" t="s">
        <v>74</v>
      </c>
      <c r="BB438">
        <v>413</v>
      </c>
      <c r="BC438">
        <v>423</v>
      </c>
      <c r="BD438" t="s">
        <v>74</v>
      </c>
      <c r="BE438" t="s">
        <v>6337</v>
      </c>
      <c r="BF438" t="str">
        <f>HYPERLINK("http://dx.doi.org/10.1897/1551-5028(2002)021&lt;0413:TAOPOP&gt;2.0.CO;2","http://dx.doi.org/10.1897/1551-5028(2002)021&lt;0413:TAOPOP&gt;2.0.CO;2")</f>
        <v>http://dx.doi.org/10.1897/1551-5028(2002)021&lt;0413:TAOPOP&gt;2.0.CO;2</v>
      </c>
      <c r="BG438" t="s">
        <v>74</v>
      </c>
      <c r="BH438" t="s">
        <v>74</v>
      </c>
      <c r="BI438">
        <v>11</v>
      </c>
      <c r="BJ438" t="s">
        <v>6338</v>
      </c>
      <c r="BK438" t="s">
        <v>170</v>
      </c>
      <c r="BL438" t="s">
        <v>6339</v>
      </c>
      <c r="BM438" t="s">
        <v>6340</v>
      </c>
      <c r="BN438">
        <v>11837231</v>
      </c>
      <c r="BO438" t="s">
        <v>74</v>
      </c>
      <c r="BP438" t="s">
        <v>74</v>
      </c>
      <c r="BQ438" t="s">
        <v>74</v>
      </c>
      <c r="BR438" t="s">
        <v>107</v>
      </c>
      <c r="BS438" t="s">
        <v>6341</v>
      </c>
      <c r="BT438" t="str">
        <f>HYPERLINK("https%3A%2F%2Fwww.webofscience.com%2Fwos%2Fwoscc%2Ffull-record%2FWOS:000173436800026","View Full Record in Web of Science")</f>
        <v>View Full Record in Web of Science</v>
      </c>
    </row>
    <row r="439" spans="1:72" x14ac:dyDescent="0.15">
      <c r="A439" t="s">
        <v>72</v>
      </c>
      <c r="B439" t="s">
        <v>6342</v>
      </c>
      <c r="C439" t="s">
        <v>74</v>
      </c>
      <c r="D439" t="s">
        <v>74</v>
      </c>
      <c r="E439" t="s">
        <v>74</v>
      </c>
      <c r="F439" t="s">
        <v>6342</v>
      </c>
      <c r="G439" t="s">
        <v>74</v>
      </c>
      <c r="H439" t="s">
        <v>74</v>
      </c>
      <c r="I439" t="s">
        <v>6343</v>
      </c>
      <c r="J439" t="s">
        <v>6344</v>
      </c>
      <c r="K439" t="s">
        <v>74</v>
      </c>
      <c r="L439" t="s">
        <v>74</v>
      </c>
      <c r="M439" t="s">
        <v>77</v>
      </c>
      <c r="N439" t="s">
        <v>153</v>
      </c>
      <c r="O439" t="s">
        <v>74</v>
      </c>
      <c r="P439" t="s">
        <v>74</v>
      </c>
      <c r="Q439" t="s">
        <v>74</v>
      </c>
      <c r="R439" t="s">
        <v>74</v>
      </c>
      <c r="S439" t="s">
        <v>74</v>
      </c>
      <c r="T439" t="s">
        <v>6345</v>
      </c>
      <c r="U439" t="s">
        <v>6346</v>
      </c>
      <c r="V439" t="s">
        <v>6347</v>
      </c>
      <c r="W439" t="s">
        <v>6348</v>
      </c>
      <c r="X439" t="s">
        <v>6349</v>
      </c>
      <c r="Y439" t="s">
        <v>6350</v>
      </c>
      <c r="Z439" t="s">
        <v>6351</v>
      </c>
      <c r="AA439" t="s">
        <v>6352</v>
      </c>
      <c r="AB439" t="s">
        <v>6353</v>
      </c>
      <c r="AC439" t="s">
        <v>74</v>
      </c>
      <c r="AD439" t="s">
        <v>74</v>
      </c>
      <c r="AE439" t="s">
        <v>74</v>
      </c>
      <c r="AF439" t="s">
        <v>74</v>
      </c>
      <c r="AG439">
        <v>90</v>
      </c>
      <c r="AH439">
        <v>57</v>
      </c>
      <c r="AI439">
        <v>70</v>
      </c>
      <c r="AJ439">
        <v>0</v>
      </c>
      <c r="AK439">
        <v>29</v>
      </c>
      <c r="AL439" t="s">
        <v>453</v>
      </c>
      <c r="AM439" t="s">
        <v>454</v>
      </c>
      <c r="AN439" t="s">
        <v>455</v>
      </c>
      <c r="AO439" t="s">
        <v>6354</v>
      </c>
      <c r="AP439" t="s">
        <v>6355</v>
      </c>
      <c r="AQ439" t="s">
        <v>74</v>
      </c>
      <c r="AR439" t="s">
        <v>6356</v>
      </c>
      <c r="AS439" t="s">
        <v>6357</v>
      </c>
      <c r="AT439" t="s">
        <v>5974</v>
      </c>
      <c r="AU439">
        <v>2002</v>
      </c>
      <c r="AV439">
        <v>37</v>
      </c>
      <c r="AW439">
        <v>1</v>
      </c>
      <c r="AX439" t="s">
        <v>74</v>
      </c>
      <c r="AY439" t="s">
        <v>74</v>
      </c>
      <c r="AZ439" t="s">
        <v>74</v>
      </c>
      <c r="BA439" t="s">
        <v>74</v>
      </c>
      <c r="BB439">
        <v>77</v>
      </c>
      <c r="BC439">
        <v>92</v>
      </c>
      <c r="BD439" t="s">
        <v>74</v>
      </c>
      <c r="BE439" t="s">
        <v>6358</v>
      </c>
      <c r="BF439" t="str">
        <f>HYPERLINK("http://dx.doi.org/10.1017/S0967026201003481","http://dx.doi.org/10.1017/S0967026201003481")</f>
        <v>http://dx.doi.org/10.1017/S0967026201003481</v>
      </c>
      <c r="BG439" t="s">
        <v>74</v>
      </c>
      <c r="BH439" t="s">
        <v>74</v>
      </c>
      <c r="BI439">
        <v>16</v>
      </c>
      <c r="BJ439" t="s">
        <v>2380</v>
      </c>
      <c r="BK439" t="s">
        <v>170</v>
      </c>
      <c r="BL439" t="s">
        <v>2380</v>
      </c>
      <c r="BM439" t="s">
        <v>6359</v>
      </c>
      <c r="BN439" t="s">
        <v>74</v>
      </c>
      <c r="BO439" t="s">
        <v>665</v>
      </c>
      <c r="BP439" t="s">
        <v>74</v>
      </c>
      <c r="BQ439" t="s">
        <v>74</v>
      </c>
      <c r="BR439" t="s">
        <v>107</v>
      </c>
      <c r="BS439" t="s">
        <v>6360</v>
      </c>
      <c r="BT439" t="str">
        <f>HYPERLINK("https%3A%2F%2Fwww.webofscience.com%2Fwos%2Fwoscc%2Ffull-record%2FWOS:000174629800008","View Full Record in Web of Science")</f>
        <v>View Full Record in Web of Science</v>
      </c>
    </row>
    <row r="440" spans="1:72" x14ac:dyDescent="0.15">
      <c r="A440" t="s">
        <v>72</v>
      </c>
      <c r="B440" t="s">
        <v>6361</v>
      </c>
      <c r="C440" t="s">
        <v>74</v>
      </c>
      <c r="D440" t="s">
        <v>74</v>
      </c>
      <c r="E440" t="s">
        <v>74</v>
      </c>
      <c r="F440" t="s">
        <v>6361</v>
      </c>
      <c r="G440" t="s">
        <v>74</v>
      </c>
      <c r="H440" t="s">
        <v>74</v>
      </c>
      <c r="I440" t="s">
        <v>6362</v>
      </c>
      <c r="J440" t="s">
        <v>6344</v>
      </c>
      <c r="K440" t="s">
        <v>74</v>
      </c>
      <c r="L440" t="s">
        <v>74</v>
      </c>
      <c r="M440" t="s">
        <v>77</v>
      </c>
      <c r="N440" t="s">
        <v>153</v>
      </c>
      <c r="O440" t="s">
        <v>74</v>
      </c>
      <c r="P440" t="s">
        <v>74</v>
      </c>
      <c r="Q440" t="s">
        <v>74</v>
      </c>
      <c r="R440" t="s">
        <v>74</v>
      </c>
      <c r="S440" t="s">
        <v>74</v>
      </c>
      <c r="T440" t="s">
        <v>6363</v>
      </c>
      <c r="U440" t="s">
        <v>6364</v>
      </c>
      <c r="V440" t="s">
        <v>6365</v>
      </c>
      <c r="W440" t="s">
        <v>6366</v>
      </c>
      <c r="X440" t="s">
        <v>6367</v>
      </c>
      <c r="Y440" t="s">
        <v>6368</v>
      </c>
      <c r="Z440" t="s">
        <v>74</v>
      </c>
      <c r="AA440" t="s">
        <v>6369</v>
      </c>
      <c r="AB440" t="s">
        <v>6370</v>
      </c>
      <c r="AC440" t="s">
        <v>74</v>
      </c>
      <c r="AD440" t="s">
        <v>74</v>
      </c>
      <c r="AE440" t="s">
        <v>74</v>
      </c>
      <c r="AF440" t="s">
        <v>74</v>
      </c>
      <c r="AG440">
        <v>49</v>
      </c>
      <c r="AH440">
        <v>32</v>
      </c>
      <c r="AI440">
        <v>33</v>
      </c>
      <c r="AJ440">
        <v>0</v>
      </c>
      <c r="AK440">
        <v>13</v>
      </c>
      <c r="AL440" t="s">
        <v>753</v>
      </c>
      <c r="AM440" t="s">
        <v>195</v>
      </c>
      <c r="AN440" t="s">
        <v>754</v>
      </c>
      <c r="AO440" t="s">
        <v>6354</v>
      </c>
      <c r="AP440" t="s">
        <v>74</v>
      </c>
      <c r="AQ440" t="s">
        <v>74</v>
      </c>
      <c r="AR440" t="s">
        <v>6356</v>
      </c>
      <c r="AS440" t="s">
        <v>6357</v>
      </c>
      <c r="AT440" t="s">
        <v>5974</v>
      </c>
      <c r="AU440">
        <v>2002</v>
      </c>
      <c r="AV440">
        <v>37</v>
      </c>
      <c r="AW440">
        <v>1</v>
      </c>
      <c r="AX440" t="s">
        <v>74</v>
      </c>
      <c r="AY440" t="s">
        <v>74</v>
      </c>
      <c r="AZ440" t="s">
        <v>74</v>
      </c>
      <c r="BA440" t="s">
        <v>74</v>
      </c>
      <c r="BB440">
        <v>103</v>
      </c>
      <c r="BC440">
        <v>114</v>
      </c>
      <c r="BD440" t="s">
        <v>74</v>
      </c>
      <c r="BE440" t="s">
        <v>6371</v>
      </c>
      <c r="BF440" t="str">
        <f>HYPERLINK("http://dx.doi.org/10.1017/S0967026201003493","http://dx.doi.org/10.1017/S0967026201003493")</f>
        <v>http://dx.doi.org/10.1017/S0967026201003493</v>
      </c>
      <c r="BG440" t="s">
        <v>74</v>
      </c>
      <c r="BH440" t="s">
        <v>74</v>
      </c>
      <c r="BI440">
        <v>12</v>
      </c>
      <c r="BJ440" t="s">
        <v>2380</v>
      </c>
      <c r="BK440" t="s">
        <v>170</v>
      </c>
      <c r="BL440" t="s">
        <v>2380</v>
      </c>
      <c r="BM440" t="s">
        <v>6359</v>
      </c>
      <c r="BN440" t="s">
        <v>74</v>
      </c>
      <c r="BO440" t="s">
        <v>74</v>
      </c>
      <c r="BP440" t="s">
        <v>74</v>
      </c>
      <c r="BQ440" t="s">
        <v>74</v>
      </c>
      <c r="BR440" t="s">
        <v>107</v>
      </c>
      <c r="BS440" t="s">
        <v>6372</v>
      </c>
      <c r="BT440" t="str">
        <f>HYPERLINK("https%3A%2F%2Fwww.webofscience.com%2Fwos%2Fwoscc%2Ffull-record%2FWOS:000174629800010","View Full Record in Web of Science")</f>
        <v>View Full Record in Web of Science</v>
      </c>
    </row>
    <row r="441" spans="1:72" x14ac:dyDescent="0.15">
      <c r="A441" t="s">
        <v>72</v>
      </c>
      <c r="B441" t="s">
        <v>6373</v>
      </c>
      <c r="C441" t="s">
        <v>74</v>
      </c>
      <c r="D441" t="s">
        <v>74</v>
      </c>
      <c r="E441" t="s">
        <v>74</v>
      </c>
      <c r="F441" t="s">
        <v>6373</v>
      </c>
      <c r="G441" t="s">
        <v>74</v>
      </c>
      <c r="H441" t="s">
        <v>74</v>
      </c>
      <c r="I441" t="s">
        <v>6374</v>
      </c>
      <c r="J441" t="s">
        <v>6375</v>
      </c>
      <c r="K441" t="s">
        <v>74</v>
      </c>
      <c r="L441" t="s">
        <v>74</v>
      </c>
      <c r="M441" t="s">
        <v>77</v>
      </c>
      <c r="N441" t="s">
        <v>153</v>
      </c>
      <c r="O441" t="s">
        <v>74</v>
      </c>
      <c r="P441" t="s">
        <v>74</v>
      </c>
      <c r="Q441" t="s">
        <v>74</v>
      </c>
      <c r="R441" t="s">
        <v>74</v>
      </c>
      <c r="S441" t="s">
        <v>74</v>
      </c>
      <c r="T441" t="s">
        <v>6376</v>
      </c>
      <c r="U441" t="s">
        <v>6377</v>
      </c>
      <c r="V441" t="s">
        <v>6378</v>
      </c>
      <c r="W441" t="s">
        <v>6379</v>
      </c>
      <c r="X441" t="s">
        <v>6380</v>
      </c>
      <c r="Y441" t="s">
        <v>367</v>
      </c>
      <c r="Z441" t="s">
        <v>6381</v>
      </c>
      <c r="AA441" t="s">
        <v>74</v>
      </c>
      <c r="AB441" t="s">
        <v>6382</v>
      </c>
      <c r="AC441" t="s">
        <v>74</v>
      </c>
      <c r="AD441" t="s">
        <v>74</v>
      </c>
      <c r="AE441" t="s">
        <v>74</v>
      </c>
      <c r="AF441" t="s">
        <v>74</v>
      </c>
      <c r="AG441">
        <v>34</v>
      </c>
      <c r="AH441">
        <v>18</v>
      </c>
      <c r="AI441">
        <v>19</v>
      </c>
      <c r="AJ441">
        <v>0</v>
      </c>
      <c r="AK441">
        <v>1</v>
      </c>
      <c r="AL441" t="s">
        <v>6383</v>
      </c>
      <c r="AM441" t="s">
        <v>6384</v>
      </c>
      <c r="AN441" t="s">
        <v>6385</v>
      </c>
      <c r="AO441" t="s">
        <v>6386</v>
      </c>
      <c r="AP441" t="s">
        <v>6387</v>
      </c>
      <c r="AQ441" t="s">
        <v>74</v>
      </c>
      <c r="AR441" t="s">
        <v>6388</v>
      </c>
      <c r="AS441" t="s">
        <v>6389</v>
      </c>
      <c r="AT441" t="s">
        <v>5974</v>
      </c>
      <c r="AU441">
        <v>2002</v>
      </c>
      <c r="AV441">
        <v>37</v>
      </c>
      <c r="AW441">
        <v>4</v>
      </c>
      <c r="AX441" t="s">
        <v>74</v>
      </c>
      <c r="AY441" t="s">
        <v>74</v>
      </c>
      <c r="AZ441" t="s">
        <v>74</v>
      </c>
      <c r="BA441" t="s">
        <v>74</v>
      </c>
      <c r="BB441">
        <v>437</v>
      </c>
      <c r="BC441">
        <v>443</v>
      </c>
      <c r="BD441" t="s">
        <v>74</v>
      </c>
      <c r="BE441" t="s">
        <v>6390</v>
      </c>
      <c r="BF441" t="str">
        <f>HYPERLINK("http://dx.doi.org/10.1078/0932-4739-00836","http://dx.doi.org/10.1078/0932-4739-00836")</f>
        <v>http://dx.doi.org/10.1078/0932-4739-00836</v>
      </c>
      <c r="BG441" t="s">
        <v>74</v>
      </c>
      <c r="BH441" t="s">
        <v>74</v>
      </c>
      <c r="BI441">
        <v>7</v>
      </c>
      <c r="BJ441" t="s">
        <v>1134</v>
      </c>
      <c r="BK441" t="s">
        <v>170</v>
      </c>
      <c r="BL441" t="s">
        <v>1134</v>
      </c>
      <c r="BM441" t="s">
        <v>6391</v>
      </c>
      <c r="BN441" t="s">
        <v>74</v>
      </c>
      <c r="BO441" t="s">
        <v>74</v>
      </c>
      <c r="BP441" t="s">
        <v>74</v>
      </c>
      <c r="BQ441" t="s">
        <v>74</v>
      </c>
      <c r="BR441" t="s">
        <v>107</v>
      </c>
      <c r="BS441" t="s">
        <v>6392</v>
      </c>
      <c r="BT441" t="str">
        <f>HYPERLINK("https%3A%2F%2Fwww.webofscience.com%2Fwos%2Fwoscc%2Ffull-record%2FWOS:000174362400012","View Full Record in Web of Science")</f>
        <v>View Full Record in Web of Science</v>
      </c>
    </row>
    <row r="442" spans="1:72" x14ac:dyDescent="0.15">
      <c r="A442" t="s">
        <v>72</v>
      </c>
      <c r="B442" t="s">
        <v>6393</v>
      </c>
      <c r="C442" t="s">
        <v>74</v>
      </c>
      <c r="D442" t="s">
        <v>74</v>
      </c>
      <c r="E442" t="s">
        <v>74</v>
      </c>
      <c r="F442" t="s">
        <v>6393</v>
      </c>
      <c r="G442" t="s">
        <v>74</v>
      </c>
      <c r="H442" t="s">
        <v>74</v>
      </c>
      <c r="I442" t="s">
        <v>6394</v>
      </c>
      <c r="J442" t="s">
        <v>1340</v>
      </c>
      <c r="K442" t="s">
        <v>74</v>
      </c>
      <c r="L442" t="s">
        <v>74</v>
      </c>
      <c r="M442" t="s">
        <v>77</v>
      </c>
      <c r="N442" t="s">
        <v>153</v>
      </c>
      <c r="O442" t="s">
        <v>74</v>
      </c>
      <c r="P442" t="s">
        <v>74</v>
      </c>
      <c r="Q442" t="s">
        <v>74</v>
      </c>
      <c r="R442" t="s">
        <v>74</v>
      </c>
      <c r="S442" t="s">
        <v>74</v>
      </c>
      <c r="T442" t="s">
        <v>6395</v>
      </c>
      <c r="U442" t="s">
        <v>6396</v>
      </c>
      <c r="V442" t="s">
        <v>6397</v>
      </c>
      <c r="W442" t="s">
        <v>6398</v>
      </c>
      <c r="X442" t="s">
        <v>6399</v>
      </c>
      <c r="Y442" t="s">
        <v>6400</v>
      </c>
      <c r="Z442" t="s">
        <v>74</v>
      </c>
      <c r="AA442" t="s">
        <v>6401</v>
      </c>
      <c r="AB442" t="s">
        <v>6402</v>
      </c>
      <c r="AC442" t="s">
        <v>74</v>
      </c>
      <c r="AD442" t="s">
        <v>74</v>
      </c>
      <c r="AE442" t="s">
        <v>74</v>
      </c>
      <c r="AF442" t="s">
        <v>74</v>
      </c>
      <c r="AG442">
        <v>30</v>
      </c>
      <c r="AH442">
        <v>10</v>
      </c>
      <c r="AI442">
        <v>12</v>
      </c>
      <c r="AJ442">
        <v>0</v>
      </c>
      <c r="AK442">
        <v>6</v>
      </c>
      <c r="AL442" t="s">
        <v>1349</v>
      </c>
      <c r="AM442" t="s">
        <v>1350</v>
      </c>
      <c r="AN442" t="s">
        <v>1351</v>
      </c>
      <c r="AO442" t="s">
        <v>1352</v>
      </c>
      <c r="AP442" t="s">
        <v>74</v>
      </c>
      <c r="AQ442" t="s">
        <v>74</v>
      </c>
      <c r="AR442" t="s">
        <v>1340</v>
      </c>
      <c r="AS442" t="s">
        <v>439</v>
      </c>
      <c r="AT442" t="s">
        <v>5974</v>
      </c>
      <c r="AU442">
        <v>2002</v>
      </c>
      <c r="AV442">
        <v>30</v>
      </c>
      <c r="AW442">
        <v>2</v>
      </c>
      <c r="AX442" t="s">
        <v>74</v>
      </c>
      <c r="AY442" t="s">
        <v>74</v>
      </c>
      <c r="AZ442" t="s">
        <v>74</v>
      </c>
      <c r="BA442" t="s">
        <v>74</v>
      </c>
      <c r="BB442">
        <v>187</v>
      </c>
      <c r="BC442">
        <v>189</v>
      </c>
      <c r="BD442" t="s">
        <v>74</v>
      </c>
      <c r="BE442" t="s">
        <v>6403</v>
      </c>
      <c r="BF442" t="str">
        <f>HYPERLINK("http://dx.doi.org/10.1130/0091-7613(2002)030&lt;0187:CSCOAC&gt;2.0.CO;2","http://dx.doi.org/10.1130/0091-7613(2002)030&lt;0187:CSCOAC&gt;2.0.CO;2")</f>
        <v>http://dx.doi.org/10.1130/0091-7613(2002)030&lt;0187:CSCOAC&gt;2.0.CO;2</v>
      </c>
      <c r="BG442" t="s">
        <v>74</v>
      </c>
      <c r="BH442" t="s">
        <v>74</v>
      </c>
      <c r="BI442">
        <v>3</v>
      </c>
      <c r="BJ442" t="s">
        <v>439</v>
      </c>
      <c r="BK442" t="s">
        <v>170</v>
      </c>
      <c r="BL442" t="s">
        <v>439</v>
      </c>
      <c r="BM442" t="s">
        <v>6404</v>
      </c>
      <c r="BN442" t="s">
        <v>74</v>
      </c>
      <c r="BO442" t="s">
        <v>74</v>
      </c>
      <c r="BP442" t="s">
        <v>74</v>
      </c>
      <c r="BQ442" t="s">
        <v>74</v>
      </c>
      <c r="BR442" t="s">
        <v>107</v>
      </c>
      <c r="BS442" t="s">
        <v>6405</v>
      </c>
      <c r="BT442" t="str">
        <f>HYPERLINK("https%3A%2F%2Fwww.webofscience.com%2Fwos%2Fwoscc%2Ffull-record%2FWOS:000173846400023","View Full Record in Web of Science")</f>
        <v>View Full Record in Web of Science</v>
      </c>
    </row>
    <row r="443" spans="1:72" x14ac:dyDescent="0.15">
      <c r="A443" t="s">
        <v>72</v>
      </c>
      <c r="B443" t="s">
        <v>6406</v>
      </c>
      <c r="C443" t="s">
        <v>74</v>
      </c>
      <c r="D443" t="s">
        <v>74</v>
      </c>
      <c r="E443" t="s">
        <v>74</v>
      </c>
      <c r="F443" t="s">
        <v>6406</v>
      </c>
      <c r="G443" t="s">
        <v>74</v>
      </c>
      <c r="H443" t="s">
        <v>74</v>
      </c>
      <c r="I443" t="s">
        <v>6407</v>
      </c>
      <c r="J443" t="s">
        <v>3939</v>
      </c>
      <c r="K443" t="s">
        <v>74</v>
      </c>
      <c r="L443" t="s">
        <v>74</v>
      </c>
      <c r="M443" t="s">
        <v>77</v>
      </c>
      <c r="N443" t="s">
        <v>153</v>
      </c>
      <c r="O443" t="s">
        <v>74</v>
      </c>
      <c r="P443" t="s">
        <v>74</v>
      </c>
      <c r="Q443" t="s">
        <v>74</v>
      </c>
      <c r="R443" t="s">
        <v>74</v>
      </c>
      <c r="S443" t="s">
        <v>74</v>
      </c>
      <c r="T443" t="s">
        <v>6408</v>
      </c>
      <c r="U443" t="s">
        <v>6409</v>
      </c>
      <c r="V443" t="s">
        <v>6410</v>
      </c>
      <c r="W443" t="s">
        <v>6411</v>
      </c>
      <c r="X443" t="s">
        <v>6412</v>
      </c>
      <c r="Y443" t="s">
        <v>6413</v>
      </c>
      <c r="Z443" t="s">
        <v>6414</v>
      </c>
      <c r="AA443" t="s">
        <v>74</v>
      </c>
      <c r="AB443" t="s">
        <v>6415</v>
      </c>
      <c r="AC443" t="s">
        <v>74</v>
      </c>
      <c r="AD443" t="s">
        <v>74</v>
      </c>
      <c r="AE443" t="s">
        <v>74</v>
      </c>
      <c r="AF443" t="s">
        <v>74</v>
      </c>
      <c r="AG443">
        <v>27</v>
      </c>
      <c r="AH443">
        <v>6</v>
      </c>
      <c r="AI443">
        <v>6</v>
      </c>
      <c r="AJ443">
        <v>1</v>
      </c>
      <c r="AK443">
        <v>2</v>
      </c>
      <c r="AL443" t="s">
        <v>1646</v>
      </c>
      <c r="AM443" t="s">
        <v>895</v>
      </c>
      <c r="AN443" t="s">
        <v>1647</v>
      </c>
      <c r="AO443" t="s">
        <v>3948</v>
      </c>
      <c r="AP443" t="s">
        <v>3949</v>
      </c>
      <c r="AQ443" t="s">
        <v>74</v>
      </c>
      <c r="AR443" t="s">
        <v>3950</v>
      </c>
      <c r="AS443" t="s">
        <v>3951</v>
      </c>
      <c r="AT443" t="s">
        <v>5974</v>
      </c>
      <c r="AU443">
        <v>2002</v>
      </c>
      <c r="AV443">
        <v>148</v>
      </c>
      <c r="AW443">
        <v>2</v>
      </c>
      <c r="AX443" t="s">
        <v>74</v>
      </c>
      <c r="AY443" t="s">
        <v>74</v>
      </c>
      <c r="AZ443" t="s">
        <v>74</v>
      </c>
      <c r="BA443" t="s">
        <v>74</v>
      </c>
      <c r="BB443">
        <v>340</v>
      </c>
      <c r="BC443">
        <v>347</v>
      </c>
      <c r="BD443" t="s">
        <v>74</v>
      </c>
      <c r="BE443" t="s">
        <v>6416</v>
      </c>
      <c r="BF443" t="str">
        <f>HYPERLINK("http://dx.doi.org/10.1046/j.1365-246X.2002.01596.x","http://dx.doi.org/10.1046/j.1365-246X.2002.01596.x")</f>
        <v>http://dx.doi.org/10.1046/j.1365-246X.2002.01596.x</v>
      </c>
      <c r="BG443" t="s">
        <v>74</v>
      </c>
      <c r="BH443" t="s">
        <v>74</v>
      </c>
      <c r="BI443">
        <v>8</v>
      </c>
      <c r="BJ443" t="s">
        <v>556</v>
      </c>
      <c r="BK443" t="s">
        <v>170</v>
      </c>
      <c r="BL443" t="s">
        <v>556</v>
      </c>
      <c r="BM443" t="s">
        <v>6417</v>
      </c>
      <c r="BN443" t="s">
        <v>74</v>
      </c>
      <c r="BO443" t="s">
        <v>173</v>
      </c>
      <c r="BP443" t="s">
        <v>74</v>
      </c>
      <c r="BQ443" t="s">
        <v>74</v>
      </c>
      <c r="BR443" t="s">
        <v>107</v>
      </c>
      <c r="BS443" t="s">
        <v>6418</v>
      </c>
      <c r="BT443" t="str">
        <f>HYPERLINK("https%3A%2F%2Fwww.webofscience.com%2Fwos%2Fwoscc%2Ffull-record%2FWOS:000174059500015","View Full Record in Web of Science")</f>
        <v>View Full Record in Web of Science</v>
      </c>
    </row>
    <row r="444" spans="1:72" x14ac:dyDescent="0.15">
      <c r="A444" t="s">
        <v>72</v>
      </c>
      <c r="B444" t="s">
        <v>6419</v>
      </c>
      <c r="C444" t="s">
        <v>74</v>
      </c>
      <c r="D444" t="s">
        <v>74</v>
      </c>
      <c r="E444" t="s">
        <v>74</v>
      </c>
      <c r="F444" t="s">
        <v>6419</v>
      </c>
      <c r="G444" t="s">
        <v>74</v>
      </c>
      <c r="H444" t="s">
        <v>74</v>
      </c>
      <c r="I444" t="s">
        <v>6420</v>
      </c>
      <c r="J444" t="s">
        <v>6421</v>
      </c>
      <c r="K444" t="s">
        <v>74</v>
      </c>
      <c r="L444" t="s">
        <v>74</v>
      </c>
      <c r="M444" t="s">
        <v>77</v>
      </c>
      <c r="N444" t="s">
        <v>153</v>
      </c>
      <c r="O444" t="s">
        <v>74</v>
      </c>
      <c r="P444" t="s">
        <v>74</v>
      </c>
      <c r="Q444" t="s">
        <v>74</v>
      </c>
      <c r="R444" t="s">
        <v>74</v>
      </c>
      <c r="S444" t="s">
        <v>74</v>
      </c>
      <c r="T444" t="s">
        <v>6422</v>
      </c>
      <c r="U444" t="s">
        <v>6423</v>
      </c>
      <c r="V444" t="s">
        <v>6424</v>
      </c>
      <c r="W444" t="s">
        <v>3174</v>
      </c>
      <c r="X444" t="s">
        <v>2368</v>
      </c>
      <c r="Y444" t="s">
        <v>6425</v>
      </c>
      <c r="Z444" t="s">
        <v>74</v>
      </c>
      <c r="AA444" t="s">
        <v>6426</v>
      </c>
      <c r="AB444" t="s">
        <v>6427</v>
      </c>
      <c r="AC444" t="s">
        <v>74</v>
      </c>
      <c r="AD444" t="s">
        <v>74</v>
      </c>
      <c r="AE444" t="s">
        <v>74</v>
      </c>
      <c r="AF444" t="s">
        <v>74</v>
      </c>
      <c r="AG444">
        <v>27</v>
      </c>
      <c r="AH444">
        <v>25</v>
      </c>
      <c r="AI444">
        <v>25</v>
      </c>
      <c r="AJ444">
        <v>0</v>
      </c>
      <c r="AK444">
        <v>13</v>
      </c>
      <c r="AL444" t="s">
        <v>1809</v>
      </c>
      <c r="AM444" t="s">
        <v>1251</v>
      </c>
      <c r="AN444" t="s">
        <v>1252</v>
      </c>
      <c r="AO444" t="s">
        <v>6428</v>
      </c>
      <c r="AP444" t="s">
        <v>74</v>
      </c>
      <c r="AQ444" t="s">
        <v>74</v>
      </c>
      <c r="AR444" t="s">
        <v>6421</v>
      </c>
      <c r="AS444" t="s">
        <v>6429</v>
      </c>
      <c r="AT444" t="s">
        <v>5974</v>
      </c>
      <c r="AU444">
        <v>2002</v>
      </c>
      <c r="AV444">
        <v>470</v>
      </c>
      <c r="AW444" t="s">
        <v>3240</v>
      </c>
      <c r="AX444" t="s">
        <v>74</v>
      </c>
      <c r="AY444" t="s">
        <v>74</v>
      </c>
      <c r="AZ444" t="s">
        <v>74</v>
      </c>
      <c r="BA444" t="s">
        <v>74</v>
      </c>
      <c r="BB444">
        <v>127</v>
      </c>
      <c r="BC444">
        <v>132</v>
      </c>
      <c r="BD444" t="s">
        <v>74</v>
      </c>
      <c r="BE444" t="s">
        <v>6430</v>
      </c>
      <c r="BF444" t="str">
        <f>HYPERLINK("http://dx.doi.org/10.1023/A:1015676022027","http://dx.doi.org/10.1023/A:1015676022027")</f>
        <v>http://dx.doi.org/10.1023/A:1015676022027</v>
      </c>
      <c r="BG444" t="s">
        <v>74</v>
      </c>
      <c r="BH444" t="s">
        <v>74</v>
      </c>
      <c r="BI444">
        <v>6</v>
      </c>
      <c r="BJ444" t="s">
        <v>1919</v>
      </c>
      <c r="BK444" t="s">
        <v>170</v>
      </c>
      <c r="BL444" t="s">
        <v>1919</v>
      </c>
      <c r="BM444" t="s">
        <v>6431</v>
      </c>
      <c r="BN444" t="s">
        <v>74</v>
      </c>
      <c r="BO444" t="s">
        <v>74</v>
      </c>
      <c r="BP444" t="s">
        <v>74</v>
      </c>
      <c r="BQ444" t="s">
        <v>74</v>
      </c>
      <c r="BR444" t="s">
        <v>107</v>
      </c>
      <c r="BS444" t="s">
        <v>6432</v>
      </c>
      <c r="BT444" t="str">
        <f>HYPERLINK("https%3A%2F%2Fwww.webofscience.com%2Fwos%2Fwoscc%2Ffull-record%2FWOS:000175854800013","View Full Record in Web of Science")</f>
        <v>View Full Record in Web of Science</v>
      </c>
    </row>
    <row r="445" spans="1:72" x14ac:dyDescent="0.15">
      <c r="A445" t="s">
        <v>72</v>
      </c>
      <c r="B445" t="s">
        <v>6433</v>
      </c>
      <c r="C445" t="s">
        <v>74</v>
      </c>
      <c r="D445" t="s">
        <v>74</v>
      </c>
      <c r="E445" t="s">
        <v>74</v>
      </c>
      <c r="F445" t="s">
        <v>6433</v>
      </c>
      <c r="G445" t="s">
        <v>74</v>
      </c>
      <c r="H445" t="s">
        <v>74</v>
      </c>
      <c r="I445" t="s">
        <v>6434</v>
      </c>
      <c r="J445" t="s">
        <v>2583</v>
      </c>
      <c r="K445" t="s">
        <v>74</v>
      </c>
      <c r="L445" t="s">
        <v>74</v>
      </c>
      <c r="M445" t="s">
        <v>77</v>
      </c>
      <c r="N445" t="s">
        <v>153</v>
      </c>
      <c r="O445" t="s">
        <v>74</v>
      </c>
      <c r="P445" t="s">
        <v>74</v>
      </c>
      <c r="Q445" t="s">
        <v>74</v>
      </c>
      <c r="R445" t="s">
        <v>74</v>
      </c>
      <c r="S445" t="s">
        <v>74</v>
      </c>
      <c r="T445" t="s">
        <v>6435</v>
      </c>
      <c r="U445" t="s">
        <v>6436</v>
      </c>
      <c r="V445" t="s">
        <v>6437</v>
      </c>
      <c r="W445" t="s">
        <v>6438</v>
      </c>
      <c r="X445" t="s">
        <v>6439</v>
      </c>
      <c r="Y445" t="s">
        <v>6440</v>
      </c>
      <c r="Z445" t="s">
        <v>74</v>
      </c>
      <c r="AA445" t="s">
        <v>74</v>
      </c>
      <c r="AB445" t="s">
        <v>74</v>
      </c>
      <c r="AC445" t="s">
        <v>74</v>
      </c>
      <c r="AD445" t="s">
        <v>74</v>
      </c>
      <c r="AE445" t="s">
        <v>74</v>
      </c>
      <c r="AF445" t="s">
        <v>74</v>
      </c>
      <c r="AG445">
        <v>79</v>
      </c>
      <c r="AH445">
        <v>23</v>
      </c>
      <c r="AI445">
        <v>29</v>
      </c>
      <c r="AJ445">
        <v>0</v>
      </c>
      <c r="AK445">
        <v>10</v>
      </c>
      <c r="AL445" t="s">
        <v>1044</v>
      </c>
      <c r="AM445" t="s">
        <v>1045</v>
      </c>
      <c r="AN445" t="s">
        <v>1046</v>
      </c>
      <c r="AO445" t="s">
        <v>2591</v>
      </c>
      <c r="AP445" t="s">
        <v>74</v>
      </c>
      <c r="AQ445" t="s">
        <v>74</v>
      </c>
      <c r="AR445" t="s">
        <v>2583</v>
      </c>
      <c r="AS445" t="s">
        <v>2592</v>
      </c>
      <c r="AT445" t="s">
        <v>5974</v>
      </c>
      <c r="AU445">
        <v>2002</v>
      </c>
      <c r="AV445">
        <v>155</v>
      </c>
      <c r="AW445">
        <v>2</v>
      </c>
      <c r="AX445" t="s">
        <v>74</v>
      </c>
      <c r="AY445" t="s">
        <v>74</v>
      </c>
      <c r="AZ445" t="s">
        <v>74</v>
      </c>
      <c r="BA445" t="s">
        <v>74</v>
      </c>
      <c r="BB445">
        <v>340</v>
      </c>
      <c r="BC445">
        <v>349</v>
      </c>
      <c r="BD445" t="s">
        <v>74</v>
      </c>
      <c r="BE445" t="s">
        <v>6441</v>
      </c>
      <c r="BF445" t="str">
        <f>HYPERLINK("http://dx.doi.org/10.1006/icar.2001.6725","http://dx.doi.org/10.1006/icar.2001.6725")</f>
        <v>http://dx.doi.org/10.1006/icar.2001.6725</v>
      </c>
      <c r="BG445" t="s">
        <v>74</v>
      </c>
      <c r="BH445" t="s">
        <v>74</v>
      </c>
      <c r="BI445">
        <v>10</v>
      </c>
      <c r="BJ445" t="s">
        <v>1856</v>
      </c>
      <c r="BK445" t="s">
        <v>170</v>
      </c>
      <c r="BL445" t="s">
        <v>1856</v>
      </c>
      <c r="BM445" t="s">
        <v>6442</v>
      </c>
      <c r="BN445" t="s">
        <v>74</v>
      </c>
      <c r="BO445" t="s">
        <v>74</v>
      </c>
      <c r="BP445" t="s">
        <v>74</v>
      </c>
      <c r="BQ445" t="s">
        <v>74</v>
      </c>
      <c r="BR445" t="s">
        <v>107</v>
      </c>
      <c r="BS445" t="s">
        <v>6443</v>
      </c>
      <c r="BT445" t="str">
        <f>HYPERLINK("https%3A%2F%2Fwww.webofscience.com%2Fwos%2Fwoscc%2Ffull-record%2FWOS:000175380400006","View Full Record in Web of Science")</f>
        <v>View Full Record in Web of Science</v>
      </c>
    </row>
    <row r="446" spans="1:72" x14ac:dyDescent="0.15">
      <c r="A446" t="s">
        <v>72</v>
      </c>
      <c r="B446" t="s">
        <v>6444</v>
      </c>
      <c r="C446" t="s">
        <v>74</v>
      </c>
      <c r="D446" t="s">
        <v>74</v>
      </c>
      <c r="E446" t="s">
        <v>74</v>
      </c>
      <c r="F446" t="s">
        <v>6444</v>
      </c>
      <c r="G446" t="s">
        <v>74</v>
      </c>
      <c r="H446" t="s">
        <v>74</v>
      </c>
      <c r="I446" t="s">
        <v>6445</v>
      </c>
      <c r="J446" t="s">
        <v>465</v>
      </c>
      <c r="K446" t="s">
        <v>74</v>
      </c>
      <c r="L446" t="s">
        <v>74</v>
      </c>
      <c r="M446" t="s">
        <v>77</v>
      </c>
      <c r="N446" t="s">
        <v>153</v>
      </c>
      <c r="O446" t="s">
        <v>74</v>
      </c>
      <c r="P446" t="s">
        <v>74</v>
      </c>
      <c r="Q446" t="s">
        <v>74</v>
      </c>
      <c r="R446" t="s">
        <v>74</v>
      </c>
      <c r="S446" t="s">
        <v>74</v>
      </c>
      <c r="T446" t="s">
        <v>6446</v>
      </c>
      <c r="U446" t="s">
        <v>6447</v>
      </c>
      <c r="V446" t="s">
        <v>6448</v>
      </c>
      <c r="W446" t="s">
        <v>6449</v>
      </c>
      <c r="X446" t="s">
        <v>6450</v>
      </c>
      <c r="Y446" t="s">
        <v>6451</v>
      </c>
      <c r="Z446" t="s">
        <v>74</v>
      </c>
      <c r="AA446" t="s">
        <v>74</v>
      </c>
      <c r="AB446" t="s">
        <v>414</v>
      </c>
      <c r="AC446" t="s">
        <v>74</v>
      </c>
      <c r="AD446" t="s">
        <v>74</v>
      </c>
      <c r="AE446" t="s">
        <v>74</v>
      </c>
      <c r="AF446" t="s">
        <v>74</v>
      </c>
      <c r="AG446">
        <v>49</v>
      </c>
      <c r="AH446">
        <v>48</v>
      </c>
      <c r="AI446">
        <v>50</v>
      </c>
      <c r="AJ446">
        <v>0</v>
      </c>
      <c r="AK446">
        <v>7</v>
      </c>
      <c r="AL446" t="s">
        <v>215</v>
      </c>
      <c r="AM446" t="s">
        <v>216</v>
      </c>
      <c r="AN446" t="s">
        <v>217</v>
      </c>
      <c r="AO446" t="s">
        <v>474</v>
      </c>
      <c r="AP446" t="s">
        <v>74</v>
      </c>
      <c r="AQ446" t="s">
        <v>74</v>
      </c>
      <c r="AR446" t="s">
        <v>475</v>
      </c>
      <c r="AS446" t="s">
        <v>476</v>
      </c>
      <c r="AT446" t="s">
        <v>5974</v>
      </c>
      <c r="AU446">
        <v>2002</v>
      </c>
      <c r="AV446">
        <v>22</v>
      </c>
      <c r="AW446">
        <v>2</v>
      </c>
      <c r="AX446" t="s">
        <v>74</v>
      </c>
      <c r="AY446" t="s">
        <v>74</v>
      </c>
      <c r="AZ446" t="s">
        <v>74</v>
      </c>
      <c r="BA446" t="s">
        <v>74</v>
      </c>
      <c r="BB446">
        <v>131</v>
      </c>
      <c r="BC446">
        <v>150</v>
      </c>
      <c r="BD446" t="s">
        <v>74</v>
      </c>
      <c r="BE446" t="s">
        <v>6452</v>
      </c>
      <c r="BF446" t="str">
        <f>HYPERLINK("http://dx.doi.org/10.1002/joc.728","http://dx.doi.org/10.1002/joc.728")</f>
        <v>http://dx.doi.org/10.1002/joc.728</v>
      </c>
      <c r="BG446" t="s">
        <v>74</v>
      </c>
      <c r="BH446" t="s">
        <v>74</v>
      </c>
      <c r="BI446">
        <v>20</v>
      </c>
      <c r="BJ446" t="s">
        <v>403</v>
      </c>
      <c r="BK446" t="s">
        <v>170</v>
      </c>
      <c r="BL446" t="s">
        <v>403</v>
      </c>
      <c r="BM446" t="s">
        <v>6453</v>
      </c>
      <c r="BN446" t="s">
        <v>74</v>
      </c>
      <c r="BO446" t="s">
        <v>74</v>
      </c>
      <c r="BP446" t="s">
        <v>74</v>
      </c>
      <c r="BQ446" t="s">
        <v>74</v>
      </c>
      <c r="BR446" t="s">
        <v>107</v>
      </c>
      <c r="BS446" t="s">
        <v>6454</v>
      </c>
      <c r="BT446" t="str">
        <f>HYPERLINK("https%3A%2F%2Fwww.webofscience.com%2Fwos%2Fwoscc%2Ffull-record%2FWOS:000174648700001","View Full Record in Web of Science")</f>
        <v>View Full Record in Web of Science</v>
      </c>
    </row>
    <row r="447" spans="1:72" x14ac:dyDescent="0.15">
      <c r="A447" t="s">
        <v>72</v>
      </c>
      <c r="B447" t="s">
        <v>6455</v>
      </c>
      <c r="C447" t="s">
        <v>74</v>
      </c>
      <c r="D447" t="s">
        <v>74</v>
      </c>
      <c r="E447" t="s">
        <v>74</v>
      </c>
      <c r="F447" t="s">
        <v>6455</v>
      </c>
      <c r="G447" t="s">
        <v>74</v>
      </c>
      <c r="H447" t="s">
        <v>74</v>
      </c>
      <c r="I447" t="s">
        <v>6456</v>
      </c>
      <c r="J447" t="s">
        <v>6457</v>
      </c>
      <c r="K447" t="s">
        <v>74</v>
      </c>
      <c r="L447" t="s">
        <v>74</v>
      </c>
      <c r="M447" t="s">
        <v>77</v>
      </c>
      <c r="N447" t="s">
        <v>153</v>
      </c>
      <c r="O447" t="s">
        <v>74</v>
      </c>
      <c r="P447" t="s">
        <v>74</v>
      </c>
      <c r="Q447" t="s">
        <v>74</v>
      </c>
      <c r="R447" t="s">
        <v>74</v>
      </c>
      <c r="S447" t="s">
        <v>74</v>
      </c>
      <c r="T447" t="s">
        <v>74</v>
      </c>
      <c r="U447" t="s">
        <v>6458</v>
      </c>
      <c r="V447" t="s">
        <v>6459</v>
      </c>
      <c r="W447" t="s">
        <v>6460</v>
      </c>
      <c r="X447" t="s">
        <v>6461</v>
      </c>
      <c r="Y447" t="s">
        <v>6462</v>
      </c>
      <c r="Z447" t="s">
        <v>74</v>
      </c>
      <c r="AA447" t="s">
        <v>6463</v>
      </c>
      <c r="AB447" t="s">
        <v>6464</v>
      </c>
      <c r="AC447" t="s">
        <v>74</v>
      </c>
      <c r="AD447" t="s">
        <v>74</v>
      </c>
      <c r="AE447" t="s">
        <v>74</v>
      </c>
      <c r="AF447" t="s">
        <v>74</v>
      </c>
      <c r="AG447">
        <v>13</v>
      </c>
      <c r="AH447">
        <v>9</v>
      </c>
      <c r="AI447">
        <v>9</v>
      </c>
      <c r="AJ447">
        <v>0</v>
      </c>
      <c r="AK447">
        <v>1</v>
      </c>
      <c r="AL447" t="s">
        <v>453</v>
      </c>
      <c r="AM447" t="s">
        <v>454</v>
      </c>
      <c r="AN447" t="s">
        <v>6465</v>
      </c>
      <c r="AO447" t="s">
        <v>6466</v>
      </c>
      <c r="AP447" t="s">
        <v>74</v>
      </c>
      <c r="AQ447" t="s">
        <v>74</v>
      </c>
      <c r="AR447" t="s">
        <v>6467</v>
      </c>
      <c r="AS447" t="s">
        <v>6468</v>
      </c>
      <c r="AT447" t="s">
        <v>5974</v>
      </c>
      <c r="AU447">
        <v>2002</v>
      </c>
      <c r="AV447">
        <v>23</v>
      </c>
      <c r="AW447">
        <v>4</v>
      </c>
      <c r="AX447" t="s">
        <v>74</v>
      </c>
      <c r="AY447" t="s">
        <v>74</v>
      </c>
      <c r="AZ447" t="s">
        <v>74</v>
      </c>
      <c r="BA447" t="s">
        <v>74</v>
      </c>
      <c r="BB447">
        <v>611</v>
      </c>
      <c r="BC447">
        <v>625</v>
      </c>
      <c r="BD447" t="s">
        <v>74</v>
      </c>
      <c r="BE447" t="s">
        <v>6469</v>
      </c>
      <c r="BF447" t="str">
        <f>HYPERLINK("http://dx.doi.org/10.1080/01431160010025989","http://dx.doi.org/10.1080/01431160010025989")</f>
        <v>http://dx.doi.org/10.1080/01431160010025989</v>
      </c>
      <c r="BG447" t="s">
        <v>74</v>
      </c>
      <c r="BH447" t="s">
        <v>74</v>
      </c>
      <c r="BI447">
        <v>15</v>
      </c>
      <c r="BJ447" t="s">
        <v>6470</v>
      </c>
      <c r="BK447" t="s">
        <v>170</v>
      </c>
      <c r="BL447" t="s">
        <v>6470</v>
      </c>
      <c r="BM447" t="s">
        <v>6471</v>
      </c>
      <c r="BN447" t="s">
        <v>74</v>
      </c>
      <c r="BO447" t="s">
        <v>665</v>
      </c>
      <c r="BP447" t="s">
        <v>74</v>
      </c>
      <c r="BQ447" t="s">
        <v>74</v>
      </c>
      <c r="BR447" t="s">
        <v>107</v>
      </c>
      <c r="BS447" t="s">
        <v>6472</v>
      </c>
      <c r="BT447" t="str">
        <f>HYPERLINK("https%3A%2F%2Fwww.webofscience.com%2Fwos%2Fwoscc%2Ffull-record%2FWOS:000173109000001","View Full Record in Web of Science")</f>
        <v>View Full Record in Web of Science</v>
      </c>
    </row>
    <row r="448" spans="1:72" x14ac:dyDescent="0.15">
      <c r="A448" t="s">
        <v>72</v>
      </c>
      <c r="B448" t="s">
        <v>6473</v>
      </c>
      <c r="C448" t="s">
        <v>74</v>
      </c>
      <c r="D448" t="s">
        <v>74</v>
      </c>
      <c r="E448" t="s">
        <v>74</v>
      </c>
      <c r="F448" t="s">
        <v>6473</v>
      </c>
      <c r="G448" t="s">
        <v>74</v>
      </c>
      <c r="H448" t="s">
        <v>74</v>
      </c>
      <c r="I448" t="s">
        <v>6474</v>
      </c>
      <c r="J448" t="s">
        <v>6475</v>
      </c>
      <c r="K448" t="s">
        <v>74</v>
      </c>
      <c r="L448" t="s">
        <v>74</v>
      </c>
      <c r="M448" t="s">
        <v>77</v>
      </c>
      <c r="N448" t="s">
        <v>153</v>
      </c>
      <c r="O448" t="s">
        <v>74</v>
      </c>
      <c r="P448" t="s">
        <v>74</v>
      </c>
      <c r="Q448" t="s">
        <v>74</v>
      </c>
      <c r="R448" t="s">
        <v>74</v>
      </c>
      <c r="S448" t="s">
        <v>74</v>
      </c>
      <c r="T448" t="s">
        <v>6476</v>
      </c>
      <c r="U448" t="s">
        <v>6477</v>
      </c>
      <c r="V448" t="s">
        <v>6478</v>
      </c>
      <c r="W448" t="s">
        <v>6479</v>
      </c>
      <c r="X448" t="s">
        <v>852</v>
      </c>
      <c r="Y448" t="s">
        <v>6480</v>
      </c>
      <c r="Z448" t="s">
        <v>74</v>
      </c>
      <c r="AA448" t="s">
        <v>74</v>
      </c>
      <c r="AB448" t="s">
        <v>74</v>
      </c>
      <c r="AC448" t="s">
        <v>74</v>
      </c>
      <c r="AD448" t="s">
        <v>74</v>
      </c>
      <c r="AE448" t="s">
        <v>74</v>
      </c>
      <c r="AF448" t="s">
        <v>74</v>
      </c>
      <c r="AG448">
        <v>84</v>
      </c>
      <c r="AH448">
        <v>99</v>
      </c>
      <c r="AI448">
        <v>107</v>
      </c>
      <c r="AJ448">
        <v>1</v>
      </c>
      <c r="AK448">
        <v>38</v>
      </c>
      <c r="AL448" t="s">
        <v>2455</v>
      </c>
      <c r="AM448" t="s">
        <v>895</v>
      </c>
      <c r="AN448" t="s">
        <v>2456</v>
      </c>
      <c r="AO448" t="s">
        <v>6481</v>
      </c>
      <c r="AP448" t="s">
        <v>74</v>
      </c>
      <c r="AQ448" t="s">
        <v>74</v>
      </c>
      <c r="AR448" t="s">
        <v>6482</v>
      </c>
      <c r="AS448" t="s">
        <v>6483</v>
      </c>
      <c r="AT448" t="s">
        <v>5974</v>
      </c>
      <c r="AU448">
        <v>2002</v>
      </c>
      <c r="AV448">
        <v>39</v>
      </c>
      <c r="AW448">
        <v>1</v>
      </c>
      <c r="AX448" t="s">
        <v>74</v>
      </c>
      <c r="AY448" t="s">
        <v>74</v>
      </c>
      <c r="AZ448" t="s">
        <v>74</v>
      </c>
      <c r="BA448" t="s">
        <v>74</v>
      </c>
      <c r="BB448">
        <v>103</v>
      </c>
      <c r="BC448">
        <v>119</v>
      </c>
      <c r="BD448" t="s">
        <v>74</v>
      </c>
      <c r="BE448" t="s">
        <v>6484</v>
      </c>
      <c r="BF448" t="str">
        <f>HYPERLINK("http://dx.doi.org/10.1046/j.1365-2664.2002.00697.x","http://dx.doi.org/10.1046/j.1365-2664.2002.00697.x")</f>
        <v>http://dx.doi.org/10.1046/j.1365-2664.2002.00697.x</v>
      </c>
      <c r="BG448" t="s">
        <v>74</v>
      </c>
      <c r="BH448" t="s">
        <v>74</v>
      </c>
      <c r="BI448">
        <v>17</v>
      </c>
      <c r="BJ448" t="s">
        <v>277</v>
      </c>
      <c r="BK448" t="s">
        <v>170</v>
      </c>
      <c r="BL448" t="s">
        <v>278</v>
      </c>
      <c r="BM448" t="s">
        <v>6485</v>
      </c>
      <c r="BN448" t="s">
        <v>74</v>
      </c>
      <c r="BO448" t="s">
        <v>173</v>
      </c>
      <c r="BP448" t="s">
        <v>74</v>
      </c>
      <c r="BQ448" t="s">
        <v>74</v>
      </c>
      <c r="BR448" t="s">
        <v>107</v>
      </c>
      <c r="BS448" t="s">
        <v>6486</v>
      </c>
      <c r="BT448" t="str">
        <f>HYPERLINK("https%3A%2F%2Fwww.webofscience.com%2Fwos%2Fwoscc%2Ffull-record%2FWOS:000174307300010","View Full Record in Web of Science")</f>
        <v>View Full Record in Web of Science</v>
      </c>
    </row>
    <row r="449" spans="1:72" x14ac:dyDescent="0.15">
      <c r="A449" t="s">
        <v>72</v>
      </c>
      <c r="B449" t="s">
        <v>6487</v>
      </c>
      <c r="C449" t="s">
        <v>74</v>
      </c>
      <c r="D449" t="s">
        <v>74</v>
      </c>
      <c r="E449" t="s">
        <v>74</v>
      </c>
      <c r="F449" t="s">
        <v>6487</v>
      </c>
      <c r="G449" t="s">
        <v>74</v>
      </c>
      <c r="H449" t="s">
        <v>74</v>
      </c>
      <c r="I449" t="s">
        <v>6488</v>
      </c>
      <c r="J449" t="s">
        <v>1451</v>
      </c>
      <c r="K449" t="s">
        <v>74</v>
      </c>
      <c r="L449" t="s">
        <v>74</v>
      </c>
      <c r="M449" t="s">
        <v>77</v>
      </c>
      <c r="N449" t="s">
        <v>153</v>
      </c>
      <c r="O449" t="s">
        <v>74</v>
      </c>
      <c r="P449" t="s">
        <v>74</v>
      </c>
      <c r="Q449" t="s">
        <v>74</v>
      </c>
      <c r="R449" t="s">
        <v>74</v>
      </c>
      <c r="S449" t="s">
        <v>74</v>
      </c>
      <c r="T449" t="s">
        <v>6489</v>
      </c>
      <c r="U449" t="s">
        <v>6490</v>
      </c>
      <c r="V449" t="s">
        <v>6491</v>
      </c>
      <c r="W449" t="s">
        <v>6492</v>
      </c>
      <c r="X449" t="s">
        <v>6493</v>
      </c>
      <c r="Y449" t="s">
        <v>6494</v>
      </c>
      <c r="Z449" t="s">
        <v>6495</v>
      </c>
      <c r="AA449" t="s">
        <v>6496</v>
      </c>
      <c r="AB449" t="s">
        <v>6497</v>
      </c>
      <c r="AC449" t="s">
        <v>74</v>
      </c>
      <c r="AD449" t="s">
        <v>74</v>
      </c>
      <c r="AE449" t="s">
        <v>74</v>
      </c>
      <c r="AF449" t="s">
        <v>74</v>
      </c>
      <c r="AG449">
        <v>48</v>
      </c>
      <c r="AH449">
        <v>20</v>
      </c>
      <c r="AI449">
        <v>23</v>
      </c>
      <c r="AJ449">
        <v>0</v>
      </c>
      <c r="AK449">
        <v>4</v>
      </c>
      <c r="AL449" t="s">
        <v>394</v>
      </c>
      <c r="AM449" t="s">
        <v>395</v>
      </c>
      <c r="AN449" t="s">
        <v>396</v>
      </c>
      <c r="AO449" t="s">
        <v>1462</v>
      </c>
      <c r="AP449" t="s">
        <v>6498</v>
      </c>
      <c r="AQ449" t="s">
        <v>74</v>
      </c>
      <c r="AR449" t="s">
        <v>1463</v>
      </c>
      <c r="AS449" t="s">
        <v>1464</v>
      </c>
      <c r="AT449" t="s">
        <v>5974</v>
      </c>
      <c r="AU449">
        <v>2002</v>
      </c>
      <c r="AV449">
        <v>60</v>
      </c>
      <c r="AW449">
        <v>2</v>
      </c>
      <c r="AX449" t="s">
        <v>74</v>
      </c>
      <c r="AY449" t="s">
        <v>74</v>
      </c>
      <c r="AZ449" t="s">
        <v>74</v>
      </c>
      <c r="BA449" t="s">
        <v>74</v>
      </c>
      <c r="BB449">
        <v>466</v>
      </c>
      <c r="BC449">
        <v>478</v>
      </c>
      <c r="BD449" t="s">
        <v>74</v>
      </c>
      <c r="BE449" t="s">
        <v>6499</v>
      </c>
      <c r="BF449" t="str">
        <f>HYPERLINK("http://dx.doi.org/10.1006/jfbi.2001.1858","http://dx.doi.org/10.1006/jfbi.2001.1858")</f>
        <v>http://dx.doi.org/10.1006/jfbi.2001.1858</v>
      </c>
      <c r="BG449" t="s">
        <v>74</v>
      </c>
      <c r="BH449" t="s">
        <v>74</v>
      </c>
      <c r="BI449">
        <v>13</v>
      </c>
      <c r="BJ449" t="s">
        <v>1466</v>
      </c>
      <c r="BK449" t="s">
        <v>170</v>
      </c>
      <c r="BL449" t="s">
        <v>1466</v>
      </c>
      <c r="BM449" t="s">
        <v>6500</v>
      </c>
      <c r="BN449" t="s">
        <v>74</v>
      </c>
      <c r="BO449" t="s">
        <v>74</v>
      </c>
      <c r="BP449" t="s">
        <v>74</v>
      </c>
      <c r="BQ449" t="s">
        <v>74</v>
      </c>
      <c r="BR449" t="s">
        <v>107</v>
      </c>
      <c r="BS449" t="s">
        <v>6501</v>
      </c>
      <c r="BT449" t="str">
        <f>HYPERLINK("https%3A%2F%2Fwww.webofscience.com%2Fwos%2Fwoscc%2Ffull-record%2FWOS:000174505100016","View Full Record in Web of Science")</f>
        <v>View Full Record in Web of Science</v>
      </c>
    </row>
    <row r="450" spans="1:72" x14ac:dyDescent="0.15">
      <c r="A450" t="s">
        <v>72</v>
      </c>
      <c r="B450" t="s">
        <v>6502</v>
      </c>
      <c r="C450" t="s">
        <v>74</v>
      </c>
      <c r="D450" t="s">
        <v>74</v>
      </c>
      <c r="E450" t="s">
        <v>74</v>
      </c>
      <c r="F450" t="s">
        <v>6502</v>
      </c>
      <c r="G450" t="s">
        <v>74</v>
      </c>
      <c r="H450" t="s">
        <v>74</v>
      </c>
      <c r="I450" t="s">
        <v>6503</v>
      </c>
      <c r="J450" t="s">
        <v>6504</v>
      </c>
      <c r="K450" t="s">
        <v>74</v>
      </c>
      <c r="L450" t="s">
        <v>74</v>
      </c>
      <c r="M450" t="s">
        <v>77</v>
      </c>
      <c r="N450" t="s">
        <v>78</v>
      </c>
      <c r="O450" t="s">
        <v>6505</v>
      </c>
      <c r="P450" t="s">
        <v>6506</v>
      </c>
      <c r="Q450" t="s">
        <v>6507</v>
      </c>
      <c r="R450" t="s">
        <v>74</v>
      </c>
      <c r="S450" t="s">
        <v>74</v>
      </c>
      <c r="T450" t="s">
        <v>6508</v>
      </c>
      <c r="U450" t="s">
        <v>6509</v>
      </c>
      <c r="V450" t="s">
        <v>6510</v>
      </c>
      <c r="W450" t="s">
        <v>6511</v>
      </c>
      <c r="X450" t="s">
        <v>871</v>
      </c>
      <c r="Y450" t="s">
        <v>6512</v>
      </c>
      <c r="Z450" t="s">
        <v>74</v>
      </c>
      <c r="AA450" t="s">
        <v>74</v>
      </c>
      <c r="AB450" t="s">
        <v>6513</v>
      </c>
      <c r="AC450" t="s">
        <v>74</v>
      </c>
      <c r="AD450" t="s">
        <v>74</v>
      </c>
      <c r="AE450" t="s">
        <v>74</v>
      </c>
      <c r="AF450" t="s">
        <v>74</v>
      </c>
      <c r="AG450">
        <v>41</v>
      </c>
      <c r="AH450">
        <v>52</v>
      </c>
      <c r="AI450">
        <v>66</v>
      </c>
      <c r="AJ450">
        <v>0</v>
      </c>
      <c r="AK450">
        <v>19</v>
      </c>
      <c r="AL450" t="s">
        <v>132</v>
      </c>
      <c r="AM450" t="s">
        <v>91</v>
      </c>
      <c r="AN450" t="s">
        <v>133</v>
      </c>
      <c r="AO450" t="s">
        <v>6514</v>
      </c>
      <c r="AP450" t="s">
        <v>74</v>
      </c>
      <c r="AQ450" t="s">
        <v>74</v>
      </c>
      <c r="AR450" t="s">
        <v>6515</v>
      </c>
      <c r="AS450" t="s">
        <v>6516</v>
      </c>
      <c r="AT450" t="s">
        <v>5974</v>
      </c>
      <c r="AU450">
        <v>2002</v>
      </c>
      <c r="AV450">
        <v>48</v>
      </c>
      <c r="AW450" t="s">
        <v>3422</v>
      </c>
      <c r="AX450" t="s">
        <v>74</v>
      </c>
      <c r="AY450" t="s">
        <v>74</v>
      </c>
      <c r="AZ450" t="s">
        <v>99</v>
      </c>
      <c r="BA450" t="s">
        <v>74</v>
      </c>
      <c r="BB450">
        <v>161</v>
      </c>
      <c r="BC450">
        <v>170</v>
      </c>
      <c r="BD450" t="s">
        <v>74</v>
      </c>
      <c r="BE450" t="s">
        <v>6517</v>
      </c>
      <c r="BF450" t="str">
        <f>HYPERLINK("http://dx.doi.org/10.1016/S0167-7012(01)00320-7","http://dx.doi.org/10.1016/S0167-7012(01)00320-7")</f>
        <v>http://dx.doi.org/10.1016/S0167-7012(01)00320-7</v>
      </c>
      <c r="BG450" t="s">
        <v>74</v>
      </c>
      <c r="BH450" t="s">
        <v>74</v>
      </c>
      <c r="BI450">
        <v>10</v>
      </c>
      <c r="BJ450" t="s">
        <v>6518</v>
      </c>
      <c r="BK450" t="s">
        <v>744</v>
      </c>
      <c r="BL450" t="s">
        <v>6519</v>
      </c>
      <c r="BM450" t="s">
        <v>6520</v>
      </c>
      <c r="BN450">
        <v>11777566</v>
      </c>
      <c r="BO450" t="s">
        <v>74</v>
      </c>
      <c r="BP450" t="s">
        <v>74</v>
      </c>
      <c r="BQ450" t="s">
        <v>74</v>
      </c>
      <c r="BR450" t="s">
        <v>107</v>
      </c>
      <c r="BS450" t="s">
        <v>6521</v>
      </c>
      <c r="BT450" t="str">
        <f>HYPERLINK("https%3A%2F%2Fwww.webofscience.com%2Fwos%2Fwoscc%2Ffull-record%2FWOS:000173483900008","View Full Record in Web of Science")</f>
        <v>View Full Record in Web of Science</v>
      </c>
    </row>
    <row r="451" spans="1:72" x14ac:dyDescent="0.15">
      <c r="A451" t="s">
        <v>72</v>
      </c>
      <c r="B451" t="s">
        <v>6522</v>
      </c>
      <c r="C451" t="s">
        <v>74</v>
      </c>
      <c r="D451" t="s">
        <v>74</v>
      </c>
      <c r="E451" t="s">
        <v>74</v>
      </c>
      <c r="F451" t="s">
        <v>6522</v>
      </c>
      <c r="G451" t="s">
        <v>74</v>
      </c>
      <c r="H451" t="s">
        <v>74</v>
      </c>
      <c r="I451" t="s">
        <v>6523</v>
      </c>
      <c r="J451" t="s">
        <v>6524</v>
      </c>
      <c r="K451" t="s">
        <v>74</v>
      </c>
      <c r="L451" t="s">
        <v>74</v>
      </c>
      <c r="M451" t="s">
        <v>77</v>
      </c>
      <c r="N451" t="s">
        <v>153</v>
      </c>
      <c r="O451" t="s">
        <v>74</v>
      </c>
      <c r="P451" t="s">
        <v>74</v>
      </c>
      <c r="Q451" t="s">
        <v>74</v>
      </c>
      <c r="R451" t="s">
        <v>74</v>
      </c>
      <c r="S451" t="s">
        <v>74</v>
      </c>
      <c r="T451" t="s">
        <v>6525</v>
      </c>
      <c r="U451" t="s">
        <v>6526</v>
      </c>
      <c r="V451" t="s">
        <v>6527</v>
      </c>
      <c r="W451" t="s">
        <v>6528</v>
      </c>
      <c r="X451" t="s">
        <v>852</v>
      </c>
      <c r="Y451" t="s">
        <v>6529</v>
      </c>
      <c r="Z451" t="s">
        <v>74</v>
      </c>
      <c r="AA451" t="s">
        <v>6530</v>
      </c>
      <c r="AB451" t="s">
        <v>6531</v>
      </c>
      <c r="AC451" t="s">
        <v>74</v>
      </c>
      <c r="AD451" t="s">
        <v>74</v>
      </c>
      <c r="AE451" t="s">
        <v>74</v>
      </c>
      <c r="AF451" t="s">
        <v>74</v>
      </c>
      <c r="AG451">
        <v>17</v>
      </c>
      <c r="AH451">
        <v>36</v>
      </c>
      <c r="AI451">
        <v>37</v>
      </c>
      <c r="AJ451">
        <v>1</v>
      </c>
      <c r="AK451">
        <v>14</v>
      </c>
      <c r="AL451" t="s">
        <v>2455</v>
      </c>
      <c r="AM451" t="s">
        <v>895</v>
      </c>
      <c r="AN451" t="s">
        <v>2456</v>
      </c>
      <c r="AO451" t="s">
        <v>6532</v>
      </c>
      <c r="AP451" t="s">
        <v>74</v>
      </c>
      <c r="AQ451" t="s">
        <v>74</v>
      </c>
      <c r="AR451" t="s">
        <v>6533</v>
      </c>
      <c r="AS451" t="s">
        <v>6534</v>
      </c>
      <c r="AT451" t="s">
        <v>5974</v>
      </c>
      <c r="AU451">
        <v>2002</v>
      </c>
      <c r="AV451">
        <v>205</v>
      </c>
      <c r="AW451" t="s">
        <v>74</v>
      </c>
      <c r="AX451">
        <v>2</v>
      </c>
      <c r="AY451" t="s">
        <v>74</v>
      </c>
      <c r="AZ451" t="s">
        <v>74</v>
      </c>
      <c r="BA451" t="s">
        <v>74</v>
      </c>
      <c r="BB451">
        <v>118</v>
      </c>
      <c r="BC451">
        <v>124</v>
      </c>
      <c r="BD451" t="s">
        <v>74</v>
      </c>
      <c r="BE451" t="s">
        <v>6535</v>
      </c>
      <c r="BF451" t="str">
        <f>HYPERLINK("http://dx.doi.org/10.1046/j.0022-2720.2001.00981.x","http://dx.doi.org/10.1046/j.0022-2720.2001.00981.x")</f>
        <v>http://dx.doi.org/10.1046/j.0022-2720.2001.00981.x</v>
      </c>
      <c r="BG451" t="s">
        <v>74</v>
      </c>
      <c r="BH451" t="s">
        <v>74</v>
      </c>
      <c r="BI451">
        <v>7</v>
      </c>
      <c r="BJ451" t="s">
        <v>6536</v>
      </c>
      <c r="BK451" t="s">
        <v>170</v>
      </c>
      <c r="BL451" t="s">
        <v>6536</v>
      </c>
      <c r="BM451" t="s">
        <v>6537</v>
      </c>
      <c r="BN451">
        <v>11879426</v>
      </c>
      <c r="BO451" t="s">
        <v>74</v>
      </c>
      <c r="BP451" t="s">
        <v>74</v>
      </c>
      <c r="BQ451" t="s">
        <v>74</v>
      </c>
      <c r="BR451" t="s">
        <v>107</v>
      </c>
      <c r="BS451" t="s">
        <v>6538</v>
      </c>
      <c r="BT451" t="str">
        <f>HYPERLINK("https%3A%2F%2Fwww.webofscience.com%2Fwos%2Fwoscc%2Ffull-record%2FWOS:000174155600002","View Full Record in Web of Science")</f>
        <v>View Full Record in Web of Science</v>
      </c>
    </row>
    <row r="452" spans="1:72" x14ac:dyDescent="0.15">
      <c r="A452" t="s">
        <v>72</v>
      </c>
      <c r="B452" t="s">
        <v>6539</v>
      </c>
      <c r="C452" t="s">
        <v>74</v>
      </c>
      <c r="D452" t="s">
        <v>74</v>
      </c>
      <c r="E452" t="s">
        <v>74</v>
      </c>
      <c r="F452" t="s">
        <v>6539</v>
      </c>
      <c r="G452" t="s">
        <v>74</v>
      </c>
      <c r="H452" t="s">
        <v>74</v>
      </c>
      <c r="I452" t="s">
        <v>6540</v>
      </c>
      <c r="J452" t="s">
        <v>1657</v>
      </c>
      <c r="K452" t="s">
        <v>74</v>
      </c>
      <c r="L452" t="s">
        <v>74</v>
      </c>
      <c r="M452" t="s">
        <v>77</v>
      </c>
      <c r="N452" t="s">
        <v>153</v>
      </c>
      <c r="O452" t="s">
        <v>74</v>
      </c>
      <c r="P452" t="s">
        <v>74</v>
      </c>
      <c r="Q452" t="s">
        <v>74</v>
      </c>
      <c r="R452" t="s">
        <v>74</v>
      </c>
      <c r="S452" t="s">
        <v>74</v>
      </c>
      <c r="T452" t="s">
        <v>74</v>
      </c>
      <c r="U452" t="s">
        <v>6541</v>
      </c>
      <c r="V452" t="s">
        <v>6542</v>
      </c>
      <c r="W452" t="s">
        <v>6543</v>
      </c>
      <c r="X452" t="s">
        <v>6544</v>
      </c>
      <c r="Y452" t="s">
        <v>300</v>
      </c>
      <c r="Z452" t="s">
        <v>1530</v>
      </c>
      <c r="AA452" t="s">
        <v>6545</v>
      </c>
      <c r="AB452" t="s">
        <v>1680</v>
      </c>
      <c r="AC452" t="s">
        <v>74</v>
      </c>
      <c r="AD452" t="s">
        <v>74</v>
      </c>
      <c r="AE452" t="s">
        <v>74</v>
      </c>
      <c r="AF452" t="s">
        <v>74</v>
      </c>
      <c r="AG452">
        <v>45</v>
      </c>
      <c r="AH452">
        <v>190</v>
      </c>
      <c r="AI452">
        <v>214</v>
      </c>
      <c r="AJ452">
        <v>0</v>
      </c>
      <c r="AK452">
        <v>18</v>
      </c>
      <c r="AL452" t="s">
        <v>1439</v>
      </c>
      <c r="AM452" t="s">
        <v>1440</v>
      </c>
      <c r="AN452" t="s">
        <v>1441</v>
      </c>
      <c r="AO452" t="s">
        <v>1666</v>
      </c>
      <c r="AP452" t="s">
        <v>1694</v>
      </c>
      <c r="AQ452" t="s">
        <v>74</v>
      </c>
      <c r="AR452" t="s">
        <v>1667</v>
      </c>
      <c r="AS452" t="s">
        <v>1668</v>
      </c>
      <c r="AT452" t="s">
        <v>5974</v>
      </c>
      <c r="AU452">
        <v>2002</v>
      </c>
      <c r="AV452">
        <v>32</v>
      </c>
      <c r="AW452">
        <v>2</v>
      </c>
      <c r="AX452" t="s">
        <v>74</v>
      </c>
      <c r="AY452" t="s">
        <v>74</v>
      </c>
      <c r="AZ452" t="s">
        <v>74</v>
      </c>
      <c r="BA452" t="s">
        <v>74</v>
      </c>
      <c r="BB452">
        <v>383</v>
      </c>
      <c r="BC452">
        <v>400</v>
      </c>
      <c r="BD452" t="s">
        <v>74</v>
      </c>
      <c r="BE452" t="s">
        <v>6546</v>
      </c>
      <c r="BF452" t="str">
        <f>HYPERLINK("http://dx.doi.org/10.1175/1520-0485(2002)032&lt;0383:ACOSLA&gt;2.0.CO;2","http://dx.doi.org/10.1175/1520-0485(2002)032&lt;0383:ACOSLA&gt;2.0.CO;2")</f>
        <v>http://dx.doi.org/10.1175/1520-0485(2002)032&lt;0383:ACOSLA&gt;2.0.CO;2</v>
      </c>
      <c r="BG452" t="s">
        <v>74</v>
      </c>
      <c r="BH452" t="s">
        <v>74</v>
      </c>
      <c r="BI452">
        <v>18</v>
      </c>
      <c r="BJ452" t="s">
        <v>1155</v>
      </c>
      <c r="BK452" t="s">
        <v>170</v>
      </c>
      <c r="BL452" t="s">
        <v>1155</v>
      </c>
      <c r="BM452" t="s">
        <v>6547</v>
      </c>
      <c r="BN452" t="s">
        <v>74</v>
      </c>
      <c r="BO452" t="s">
        <v>1682</v>
      </c>
      <c r="BP452" t="s">
        <v>74</v>
      </c>
      <c r="BQ452" t="s">
        <v>74</v>
      </c>
      <c r="BR452" t="s">
        <v>107</v>
      </c>
      <c r="BS452" t="s">
        <v>6548</v>
      </c>
      <c r="BT452" t="str">
        <f>HYPERLINK("https%3A%2F%2Fwww.webofscience.com%2Fwos%2Fwoscc%2Ffull-record%2FWOS:000173976500002","View Full Record in Web of Science")</f>
        <v>View Full Record in Web of Science</v>
      </c>
    </row>
    <row r="453" spans="1:72" x14ac:dyDescent="0.15">
      <c r="A453" t="s">
        <v>72</v>
      </c>
      <c r="B453" t="s">
        <v>6549</v>
      </c>
      <c r="C453" t="s">
        <v>74</v>
      </c>
      <c r="D453" t="s">
        <v>74</v>
      </c>
      <c r="E453" t="s">
        <v>74</v>
      </c>
      <c r="F453" t="s">
        <v>6549</v>
      </c>
      <c r="G453" t="s">
        <v>74</v>
      </c>
      <c r="H453" t="s">
        <v>74</v>
      </c>
      <c r="I453" t="s">
        <v>6550</v>
      </c>
      <c r="J453" t="s">
        <v>6551</v>
      </c>
      <c r="K453" t="s">
        <v>74</v>
      </c>
      <c r="L453" t="s">
        <v>74</v>
      </c>
      <c r="M453" t="s">
        <v>77</v>
      </c>
      <c r="N453" t="s">
        <v>153</v>
      </c>
      <c r="O453" t="s">
        <v>74</v>
      </c>
      <c r="P453" t="s">
        <v>74</v>
      </c>
      <c r="Q453" t="s">
        <v>74</v>
      </c>
      <c r="R453" t="s">
        <v>74</v>
      </c>
      <c r="S453" t="s">
        <v>74</v>
      </c>
      <c r="T453" t="s">
        <v>6552</v>
      </c>
      <c r="U453" t="s">
        <v>6553</v>
      </c>
      <c r="V453" t="s">
        <v>6554</v>
      </c>
      <c r="W453" t="s">
        <v>6555</v>
      </c>
      <c r="X453" t="s">
        <v>852</v>
      </c>
      <c r="Y453" t="s">
        <v>6556</v>
      </c>
      <c r="Z453" t="s">
        <v>74</v>
      </c>
      <c r="AA453" t="s">
        <v>74</v>
      </c>
      <c r="AB453" t="s">
        <v>74</v>
      </c>
      <c r="AC453" t="s">
        <v>74</v>
      </c>
      <c r="AD453" t="s">
        <v>74</v>
      </c>
      <c r="AE453" t="s">
        <v>74</v>
      </c>
      <c r="AF453" t="s">
        <v>74</v>
      </c>
      <c r="AG453">
        <v>14</v>
      </c>
      <c r="AH453">
        <v>7</v>
      </c>
      <c r="AI453">
        <v>8</v>
      </c>
      <c r="AJ453">
        <v>0</v>
      </c>
      <c r="AK453">
        <v>2</v>
      </c>
      <c r="AL453" t="s">
        <v>1013</v>
      </c>
      <c r="AM453" t="s">
        <v>895</v>
      </c>
      <c r="AN453" t="s">
        <v>1014</v>
      </c>
      <c r="AO453" t="s">
        <v>6557</v>
      </c>
      <c r="AP453" t="s">
        <v>74</v>
      </c>
      <c r="AQ453" t="s">
        <v>74</v>
      </c>
      <c r="AR453" t="s">
        <v>6558</v>
      </c>
      <c r="AS453" t="s">
        <v>6559</v>
      </c>
      <c r="AT453" t="s">
        <v>6560</v>
      </c>
      <c r="AU453">
        <v>2002</v>
      </c>
      <c r="AV453">
        <v>72</v>
      </c>
      <c r="AW453">
        <v>3</v>
      </c>
      <c r="AX453" t="s">
        <v>74</v>
      </c>
      <c r="AY453" t="s">
        <v>74</v>
      </c>
      <c r="AZ453" t="s">
        <v>74</v>
      </c>
      <c r="BA453" t="s">
        <v>74</v>
      </c>
      <c r="BB453">
        <v>237</v>
      </c>
      <c r="BC453">
        <v>248</v>
      </c>
      <c r="BD453" t="s">
        <v>74</v>
      </c>
      <c r="BE453" t="s">
        <v>6561</v>
      </c>
      <c r="BF453" t="str">
        <f>HYPERLINK("http://dx.doi.org/10.1016/S0022-4073(01)00121-2","http://dx.doi.org/10.1016/S0022-4073(01)00121-2")</f>
        <v>http://dx.doi.org/10.1016/S0022-4073(01)00121-2</v>
      </c>
      <c r="BG453" t="s">
        <v>74</v>
      </c>
      <c r="BH453" t="s">
        <v>74</v>
      </c>
      <c r="BI453">
        <v>12</v>
      </c>
      <c r="BJ453" t="s">
        <v>6562</v>
      </c>
      <c r="BK453" t="s">
        <v>170</v>
      </c>
      <c r="BL453" t="s">
        <v>6562</v>
      </c>
      <c r="BM453" t="s">
        <v>6563</v>
      </c>
      <c r="BN453" t="s">
        <v>74</v>
      </c>
      <c r="BO453" t="s">
        <v>74</v>
      </c>
      <c r="BP453" t="s">
        <v>74</v>
      </c>
      <c r="BQ453" t="s">
        <v>74</v>
      </c>
      <c r="BR453" t="s">
        <v>107</v>
      </c>
      <c r="BS453" t="s">
        <v>6564</v>
      </c>
      <c r="BT453" t="str">
        <f>HYPERLINK("https%3A%2F%2Fwww.webofscience.com%2Fwos%2Fwoscc%2Ffull-record%2FWOS:000172228000003","View Full Record in Web of Science")</f>
        <v>View Full Record in Web of Science</v>
      </c>
    </row>
    <row r="454" spans="1:72" x14ac:dyDescent="0.15">
      <c r="A454" t="s">
        <v>72</v>
      </c>
      <c r="B454" t="s">
        <v>6565</v>
      </c>
      <c r="C454" t="s">
        <v>74</v>
      </c>
      <c r="D454" t="s">
        <v>74</v>
      </c>
      <c r="E454" t="s">
        <v>74</v>
      </c>
      <c r="F454" t="s">
        <v>6565</v>
      </c>
      <c r="G454" t="s">
        <v>74</v>
      </c>
      <c r="H454" t="s">
        <v>74</v>
      </c>
      <c r="I454" t="s">
        <v>6566</v>
      </c>
      <c r="J454" t="s">
        <v>6567</v>
      </c>
      <c r="K454" t="s">
        <v>74</v>
      </c>
      <c r="L454" t="s">
        <v>74</v>
      </c>
      <c r="M454" t="s">
        <v>77</v>
      </c>
      <c r="N454" t="s">
        <v>153</v>
      </c>
      <c r="O454" t="s">
        <v>74</v>
      </c>
      <c r="P454" t="s">
        <v>74</v>
      </c>
      <c r="Q454" t="s">
        <v>74</v>
      </c>
      <c r="R454" t="s">
        <v>74</v>
      </c>
      <c r="S454" t="s">
        <v>74</v>
      </c>
      <c r="T454" t="s">
        <v>74</v>
      </c>
      <c r="U454" t="s">
        <v>6568</v>
      </c>
      <c r="V454" t="s">
        <v>6569</v>
      </c>
      <c r="W454" t="s">
        <v>6570</v>
      </c>
      <c r="X454" t="s">
        <v>6571</v>
      </c>
      <c r="Y454" t="s">
        <v>6572</v>
      </c>
      <c r="Z454" t="s">
        <v>74</v>
      </c>
      <c r="AA454" t="s">
        <v>74</v>
      </c>
      <c r="AB454" t="s">
        <v>74</v>
      </c>
      <c r="AC454" t="s">
        <v>74</v>
      </c>
      <c r="AD454" t="s">
        <v>74</v>
      </c>
      <c r="AE454" t="s">
        <v>74</v>
      </c>
      <c r="AF454" t="s">
        <v>74</v>
      </c>
      <c r="AG454">
        <v>35</v>
      </c>
      <c r="AH454">
        <v>22</v>
      </c>
      <c r="AI454">
        <v>25</v>
      </c>
      <c r="AJ454">
        <v>0</v>
      </c>
      <c r="AK454">
        <v>12</v>
      </c>
      <c r="AL454" t="s">
        <v>6573</v>
      </c>
      <c r="AM454" t="s">
        <v>195</v>
      </c>
      <c r="AN454" t="s">
        <v>6574</v>
      </c>
      <c r="AO454" t="s">
        <v>6575</v>
      </c>
      <c r="AP454" t="s">
        <v>6576</v>
      </c>
      <c r="AQ454" t="s">
        <v>74</v>
      </c>
      <c r="AR454" t="s">
        <v>6577</v>
      </c>
      <c r="AS454" t="s">
        <v>6578</v>
      </c>
      <c r="AT454" t="s">
        <v>5974</v>
      </c>
      <c r="AU454">
        <v>2002</v>
      </c>
      <c r="AV454">
        <v>46</v>
      </c>
      <c r="AW454">
        <v>2</v>
      </c>
      <c r="AX454" t="s">
        <v>74</v>
      </c>
      <c r="AY454" t="s">
        <v>74</v>
      </c>
      <c r="AZ454" t="s">
        <v>74</v>
      </c>
      <c r="BA454" t="s">
        <v>74</v>
      </c>
      <c r="BB454">
        <v>193</v>
      </c>
      <c r="BC454">
        <v>199</v>
      </c>
      <c r="BD454" t="s">
        <v>74</v>
      </c>
      <c r="BE454" t="s">
        <v>6579</v>
      </c>
      <c r="BF454" t="str">
        <f>HYPERLINK("http://dx.doi.org/10.1067/mjd.2002.118556","http://dx.doi.org/10.1067/mjd.2002.118556")</f>
        <v>http://dx.doi.org/10.1067/mjd.2002.118556</v>
      </c>
      <c r="BG454" t="s">
        <v>74</v>
      </c>
      <c r="BH454" t="s">
        <v>74</v>
      </c>
      <c r="BI454">
        <v>7</v>
      </c>
      <c r="BJ454" t="s">
        <v>6580</v>
      </c>
      <c r="BK454" t="s">
        <v>170</v>
      </c>
      <c r="BL454" t="s">
        <v>6580</v>
      </c>
      <c r="BM454" t="s">
        <v>6581</v>
      </c>
      <c r="BN454">
        <v>11807429</v>
      </c>
      <c r="BO454" t="s">
        <v>74</v>
      </c>
      <c r="BP454" t="s">
        <v>74</v>
      </c>
      <c r="BQ454" t="s">
        <v>74</v>
      </c>
      <c r="BR454" t="s">
        <v>107</v>
      </c>
      <c r="BS454" t="s">
        <v>6582</v>
      </c>
      <c r="BT454" t="str">
        <f>HYPERLINK("https%3A%2F%2Fwww.webofscience.com%2Fwos%2Fwoscc%2Ffull-record%2FWOS:000173711200003","View Full Record in Web of Science")</f>
        <v>View Full Record in Web of Science</v>
      </c>
    </row>
    <row r="455" spans="1:72" x14ac:dyDescent="0.15">
      <c r="A455" t="s">
        <v>72</v>
      </c>
      <c r="B455" t="s">
        <v>6583</v>
      </c>
      <c r="C455" t="s">
        <v>74</v>
      </c>
      <c r="D455" t="s">
        <v>74</v>
      </c>
      <c r="E455" t="s">
        <v>74</v>
      </c>
      <c r="F455" t="s">
        <v>6583</v>
      </c>
      <c r="G455" t="s">
        <v>74</v>
      </c>
      <c r="H455" t="s">
        <v>74</v>
      </c>
      <c r="I455" t="s">
        <v>6584</v>
      </c>
      <c r="J455" t="s">
        <v>4253</v>
      </c>
      <c r="K455" t="s">
        <v>74</v>
      </c>
      <c r="L455" t="s">
        <v>74</v>
      </c>
      <c r="M455" t="s">
        <v>77</v>
      </c>
      <c r="N455" t="s">
        <v>153</v>
      </c>
      <c r="O455" t="s">
        <v>74</v>
      </c>
      <c r="P455" t="s">
        <v>74</v>
      </c>
      <c r="Q455" t="s">
        <v>74</v>
      </c>
      <c r="R455" t="s">
        <v>74</v>
      </c>
      <c r="S455" t="s">
        <v>74</v>
      </c>
      <c r="T455" t="s">
        <v>6585</v>
      </c>
      <c r="U455" t="s">
        <v>6586</v>
      </c>
      <c r="V455" t="s">
        <v>6587</v>
      </c>
      <c r="W455" t="s">
        <v>6588</v>
      </c>
      <c r="X455" t="s">
        <v>6589</v>
      </c>
      <c r="Y455" t="s">
        <v>6590</v>
      </c>
      <c r="Z455" t="s">
        <v>74</v>
      </c>
      <c r="AA455" t="s">
        <v>74</v>
      </c>
      <c r="AB455" t="s">
        <v>74</v>
      </c>
      <c r="AC455" t="s">
        <v>74</v>
      </c>
      <c r="AD455" t="s">
        <v>74</v>
      </c>
      <c r="AE455" t="s">
        <v>74</v>
      </c>
      <c r="AF455" t="s">
        <v>74</v>
      </c>
      <c r="AG455">
        <v>33</v>
      </c>
      <c r="AH455">
        <v>12</v>
      </c>
      <c r="AI455">
        <v>17</v>
      </c>
      <c r="AJ455">
        <v>0</v>
      </c>
      <c r="AK455">
        <v>13</v>
      </c>
      <c r="AL455" t="s">
        <v>753</v>
      </c>
      <c r="AM455" t="s">
        <v>195</v>
      </c>
      <c r="AN455" t="s">
        <v>754</v>
      </c>
      <c r="AO455" t="s">
        <v>4263</v>
      </c>
      <c r="AP455" t="s">
        <v>74</v>
      </c>
      <c r="AQ455" t="s">
        <v>74</v>
      </c>
      <c r="AR455" t="s">
        <v>4265</v>
      </c>
      <c r="AS455" t="s">
        <v>4266</v>
      </c>
      <c r="AT455" t="s">
        <v>5974</v>
      </c>
      <c r="AU455">
        <v>2002</v>
      </c>
      <c r="AV455">
        <v>256</v>
      </c>
      <c r="AW455" t="s">
        <v>74</v>
      </c>
      <c r="AX455">
        <v>2</v>
      </c>
      <c r="AY455" t="s">
        <v>74</v>
      </c>
      <c r="AZ455" t="s">
        <v>74</v>
      </c>
      <c r="BA455" t="s">
        <v>74</v>
      </c>
      <c r="BB455">
        <v>139</v>
      </c>
      <c r="BC455">
        <v>149</v>
      </c>
      <c r="BD455" t="s">
        <v>74</v>
      </c>
      <c r="BE455" t="s">
        <v>6591</v>
      </c>
      <c r="BF455" t="str">
        <f>HYPERLINK("http://dx.doi.org/10.1017/S0952836902000171","http://dx.doi.org/10.1017/S0952836902000171")</f>
        <v>http://dx.doi.org/10.1017/S0952836902000171</v>
      </c>
      <c r="BG455" t="s">
        <v>74</v>
      </c>
      <c r="BH455" t="s">
        <v>74</v>
      </c>
      <c r="BI455">
        <v>11</v>
      </c>
      <c r="BJ455" t="s">
        <v>1001</v>
      </c>
      <c r="BK455" t="s">
        <v>170</v>
      </c>
      <c r="BL455" t="s">
        <v>1001</v>
      </c>
      <c r="BM455" t="s">
        <v>6592</v>
      </c>
      <c r="BN455" t="s">
        <v>74</v>
      </c>
      <c r="BO455" t="s">
        <v>74</v>
      </c>
      <c r="BP455" t="s">
        <v>74</v>
      </c>
      <c r="BQ455" t="s">
        <v>74</v>
      </c>
      <c r="BR455" t="s">
        <v>107</v>
      </c>
      <c r="BS455" t="s">
        <v>6593</v>
      </c>
      <c r="BT455" t="str">
        <f>HYPERLINK("https%3A%2F%2Fwww.webofscience.com%2Fwos%2Fwoscc%2Ffull-record%2FWOS:000175097300001","View Full Record in Web of Science")</f>
        <v>View Full Record in Web of Science</v>
      </c>
    </row>
    <row r="456" spans="1:72" x14ac:dyDescent="0.15">
      <c r="A456" t="s">
        <v>72</v>
      </c>
      <c r="B456" t="s">
        <v>6594</v>
      </c>
      <c r="C456" t="s">
        <v>74</v>
      </c>
      <c r="D456" t="s">
        <v>74</v>
      </c>
      <c r="E456" t="s">
        <v>74</v>
      </c>
      <c r="F456" t="s">
        <v>6594</v>
      </c>
      <c r="G456" t="s">
        <v>74</v>
      </c>
      <c r="H456" t="s">
        <v>74</v>
      </c>
      <c r="I456" t="s">
        <v>6595</v>
      </c>
      <c r="J456" t="s">
        <v>6596</v>
      </c>
      <c r="K456" t="s">
        <v>74</v>
      </c>
      <c r="L456" t="s">
        <v>74</v>
      </c>
      <c r="M456" t="s">
        <v>77</v>
      </c>
      <c r="N456" t="s">
        <v>5784</v>
      </c>
      <c r="O456" t="s">
        <v>74</v>
      </c>
      <c r="P456" t="s">
        <v>74</v>
      </c>
      <c r="Q456" t="s">
        <v>74</v>
      </c>
      <c r="R456" t="s">
        <v>74</v>
      </c>
      <c r="S456" t="s">
        <v>74</v>
      </c>
      <c r="T456" t="s">
        <v>74</v>
      </c>
      <c r="U456" t="s">
        <v>74</v>
      </c>
      <c r="V456" t="s">
        <v>74</v>
      </c>
      <c r="W456" t="s">
        <v>6597</v>
      </c>
      <c r="X456" t="s">
        <v>6598</v>
      </c>
      <c r="Y456" t="s">
        <v>6599</v>
      </c>
      <c r="Z456" t="s">
        <v>74</v>
      </c>
      <c r="AA456" t="s">
        <v>74</v>
      </c>
      <c r="AB456" t="s">
        <v>74</v>
      </c>
      <c r="AC456" t="s">
        <v>74</v>
      </c>
      <c r="AD456" t="s">
        <v>74</v>
      </c>
      <c r="AE456" t="s">
        <v>74</v>
      </c>
      <c r="AF456" t="s">
        <v>74</v>
      </c>
      <c r="AG456">
        <v>1</v>
      </c>
      <c r="AH456">
        <v>0</v>
      </c>
      <c r="AI456">
        <v>0</v>
      </c>
      <c r="AJ456">
        <v>0</v>
      </c>
      <c r="AK456">
        <v>0</v>
      </c>
      <c r="AL456" t="s">
        <v>6600</v>
      </c>
      <c r="AM456" t="s">
        <v>195</v>
      </c>
      <c r="AN456" t="s">
        <v>6601</v>
      </c>
      <c r="AO456" t="s">
        <v>6602</v>
      </c>
      <c r="AP456" t="s">
        <v>74</v>
      </c>
      <c r="AQ456" t="s">
        <v>74</v>
      </c>
      <c r="AR456" t="s">
        <v>6603</v>
      </c>
      <c r="AS456" t="s">
        <v>6604</v>
      </c>
      <c r="AT456" t="s">
        <v>6560</v>
      </c>
      <c r="AU456">
        <v>2002</v>
      </c>
      <c r="AV456">
        <v>127</v>
      </c>
      <c r="AW456">
        <v>2</v>
      </c>
      <c r="AX456" t="s">
        <v>74</v>
      </c>
      <c r="AY456" t="s">
        <v>74</v>
      </c>
      <c r="AZ456" t="s">
        <v>74</v>
      </c>
      <c r="BA456" t="s">
        <v>74</v>
      </c>
      <c r="BB456">
        <v>115</v>
      </c>
      <c r="BC456">
        <v>115</v>
      </c>
      <c r="BD456" t="s">
        <v>74</v>
      </c>
      <c r="BE456" t="s">
        <v>74</v>
      </c>
      <c r="BF456" t="s">
        <v>74</v>
      </c>
      <c r="BG456" t="s">
        <v>74</v>
      </c>
      <c r="BH456" t="s">
        <v>74</v>
      </c>
      <c r="BI456">
        <v>1</v>
      </c>
      <c r="BJ456" t="s">
        <v>6605</v>
      </c>
      <c r="BK456" t="s">
        <v>1236</v>
      </c>
      <c r="BL456" t="s">
        <v>6605</v>
      </c>
      <c r="BM456" t="s">
        <v>6606</v>
      </c>
      <c r="BN456" t="s">
        <v>74</v>
      </c>
      <c r="BO456" t="s">
        <v>74</v>
      </c>
      <c r="BP456" t="s">
        <v>74</v>
      </c>
      <c r="BQ456" t="s">
        <v>74</v>
      </c>
      <c r="BR456" t="s">
        <v>107</v>
      </c>
      <c r="BS456" t="s">
        <v>6607</v>
      </c>
      <c r="BT456" t="str">
        <f>HYPERLINK("https%3A%2F%2Fwww.webofscience.com%2Fwos%2Fwoscc%2Ffull-record%2FWOS:000173528700172","View Full Record in Web of Science")</f>
        <v>View Full Record in Web of Science</v>
      </c>
    </row>
    <row r="457" spans="1:72" x14ac:dyDescent="0.15">
      <c r="A457" t="s">
        <v>72</v>
      </c>
      <c r="B457" t="s">
        <v>6608</v>
      </c>
      <c r="C457" t="s">
        <v>74</v>
      </c>
      <c r="D457" t="s">
        <v>74</v>
      </c>
      <c r="E457" t="s">
        <v>74</v>
      </c>
      <c r="F457" t="s">
        <v>6608</v>
      </c>
      <c r="G457" t="s">
        <v>74</v>
      </c>
      <c r="H457" t="s">
        <v>74</v>
      </c>
      <c r="I457" t="s">
        <v>6609</v>
      </c>
      <c r="J457" t="s">
        <v>4290</v>
      </c>
      <c r="K457" t="s">
        <v>74</v>
      </c>
      <c r="L457" t="s">
        <v>74</v>
      </c>
      <c r="M457" t="s">
        <v>77</v>
      </c>
      <c r="N457" t="s">
        <v>153</v>
      </c>
      <c r="O457" t="s">
        <v>74</v>
      </c>
      <c r="P457" t="s">
        <v>74</v>
      </c>
      <c r="Q457" t="s">
        <v>74</v>
      </c>
      <c r="R457" t="s">
        <v>74</v>
      </c>
      <c r="S457" t="s">
        <v>74</v>
      </c>
      <c r="T457" t="s">
        <v>74</v>
      </c>
      <c r="U457" t="s">
        <v>6610</v>
      </c>
      <c r="V457" t="s">
        <v>6611</v>
      </c>
      <c r="W457" t="s">
        <v>851</v>
      </c>
      <c r="X457" t="s">
        <v>852</v>
      </c>
      <c r="Y457" t="s">
        <v>6612</v>
      </c>
      <c r="Z457" t="s">
        <v>74</v>
      </c>
      <c r="AA457" t="s">
        <v>6613</v>
      </c>
      <c r="AB457" t="s">
        <v>6614</v>
      </c>
      <c r="AC457" t="s">
        <v>74</v>
      </c>
      <c r="AD457" t="s">
        <v>74</v>
      </c>
      <c r="AE457" t="s">
        <v>74</v>
      </c>
      <c r="AF457" t="s">
        <v>74</v>
      </c>
      <c r="AG457">
        <v>60</v>
      </c>
      <c r="AH457">
        <v>85</v>
      </c>
      <c r="AI457">
        <v>95</v>
      </c>
      <c r="AJ457">
        <v>0</v>
      </c>
      <c r="AK457">
        <v>46</v>
      </c>
      <c r="AL457" t="s">
        <v>290</v>
      </c>
      <c r="AM457" t="s">
        <v>195</v>
      </c>
      <c r="AN457" t="s">
        <v>291</v>
      </c>
      <c r="AO457" t="s">
        <v>4298</v>
      </c>
      <c r="AP457" t="s">
        <v>74</v>
      </c>
      <c r="AQ457" t="s">
        <v>74</v>
      </c>
      <c r="AR457" t="s">
        <v>4300</v>
      </c>
      <c r="AS457" t="s">
        <v>4301</v>
      </c>
      <c r="AT457" t="s">
        <v>5974</v>
      </c>
      <c r="AU457">
        <v>2002</v>
      </c>
      <c r="AV457">
        <v>140</v>
      </c>
      <c r="AW457">
        <v>2</v>
      </c>
      <c r="AX457" t="s">
        <v>74</v>
      </c>
      <c r="AY457" t="s">
        <v>74</v>
      </c>
      <c r="AZ457" t="s">
        <v>74</v>
      </c>
      <c r="BA457" t="s">
        <v>74</v>
      </c>
      <c r="BB457">
        <v>205</v>
      </c>
      <c r="BC457">
        <v>213</v>
      </c>
      <c r="BD457" t="s">
        <v>74</v>
      </c>
      <c r="BE457" t="s">
        <v>6615</v>
      </c>
      <c r="BF457" t="str">
        <f>HYPERLINK("http://dx.doi.org/10.1007/s00227-001-0691-7","http://dx.doi.org/10.1007/s00227-001-0691-7")</f>
        <v>http://dx.doi.org/10.1007/s00227-001-0691-7</v>
      </c>
      <c r="BG457" t="s">
        <v>74</v>
      </c>
      <c r="BH457" t="s">
        <v>74</v>
      </c>
      <c r="BI457">
        <v>9</v>
      </c>
      <c r="BJ457" t="s">
        <v>1919</v>
      </c>
      <c r="BK457" t="s">
        <v>170</v>
      </c>
      <c r="BL457" t="s">
        <v>1919</v>
      </c>
      <c r="BM457" t="s">
        <v>6616</v>
      </c>
      <c r="BN457" t="s">
        <v>74</v>
      </c>
      <c r="BO457" t="s">
        <v>74</v>
      </c>
      <c r="BP457" t="s">
        <v>74</v>
      </c>
      <c r="BQ457" t="s">
        <v>74</v>
      </c>
      <c r="BR457" t="s">
        <v>107</v>
      </c>
      <c r="BS457" t="s">
        <v>6617</v>
      </c>
      <c r="BT457" t="str">
        <f>HYPERLINK("https%3A%2F%2Fwww.webofscience.com%2Fwos%2Fwoscc%2Ffull-record%2FWOS:000174672600001","View Full Record in Web of Science")</f>
        <v>View Full Record in Web of Science</v>
      </c>
    </row>
    <row r="458" spans="1:72" x14ac:dyDescent="0.15">
      <c r="A458" t="s">
        <v>72</v>
      </c>
      <c r="B458" t="s">
        <v>6618</v>
      </c>
      <c r="C458" t="s">
        <v>74</v>
      </c>
      <c r="D458" t="s">
        <v>74</v>
      </c>
      <c r="E458" t="s">
        <v>74</v>
      </c>
      <c r="F458" t="s">
        <v>6618</v>
      </c>
      <c r="G458" t="s">
        <v>74</v>
      </c>
      <c r="H458" t="s">
        <v>74</v>
      </c>
      <c r="I458" t="s">
        <v>6619</v>
      </c>
      <c r="J458" t="s">
        <v>4290</v>
      </c>
      <c r="K458" t="s">
        <v>74</v>
      </c>
      <c r="L458" t="s">
        <v>74</v>
      </c>
      <c r="M458" t="s">
        <v>77</v>
      </c>
      <c r="N458" t="s">
        <v>153</v>
      </c>
      <c r="O458" t="s">
        <v>74</v>
      </c>
      <c r="P458" t="s">
        <v>74</v>
      </c>
      <c r="Q458" t="s">
        <v>74</v>
      </c>
      <c r="R458" t="s">
        <v>74</v>
      </c>
      <c r="S458" t="s">
        <v>74</v>
      </c>
      <c r="T458" t="s">
        <v>74</v>
      </c>
      <c r="U458" t="s">
        <v>6620</v>
      </c>
      <c r="V458" t="s">
        <v>6621</v>
      </c>
      <c r="W458" t="s">
        <v>6622</v>
      </c>
      <c r="X458" t="s">
        <v>6623</v>
      </c>
      <c r="Y458" t="s">
        <v>6624</v>
      </c>
      <c r="Z458" t="s">
        <v>74</v>
      </c>
      <c r="AA458" t="s">
        <v>6625</v>
      </c>
      <c r="AB458" t="s">
        <v>6626</v>
      </c>
      <c r="AC458" t="s">
        <v>74</v>
      </c>
      <c r="AD458" t="s">
        <v>74</v>
      </c>
      <c r="AE458" t="s">
        <v>74</v>
      </c>
      <c r="AF458" t="s">
        <v>74</v>
      </c>
      <c r="AG458">
        <v>30</v>
      </c>
      <c r="AH458">
        <v>60</v>
      </c>
      <c r="AI458">
        <v>66</v>
      </c>
      <c r="AJ458">
        <v>1</v>
      </c>
      <c r="AK458">
        <v>38</v>
      </c>
      <c r="AL458" t="s">
        <v>290</v>
      </c>
      <c r="AM458" t="s">
        <v>195</v>
      </c>
      <c r="AN458" t="s">
        <v>291</v>
      </c>
      <c r="AO458" t="s">
        <v>4298</v>
      </c>
      <c r="AP458" t="s">
        <v>74</v>
      </c>
      <c r="AQ458" t="s">
        <v>74</v>
      </c>
      <c r="AR458" t="s">
        <v>4300</v>
      </c>
      <c r="AS458" t="s">
        <v>4301</v>
      </c>
      <c r="AT458" t="s">
        <v>5974</v>
      </c>
      <c r="AU458">
        <v>2002</v>
      </c>
      <c r="AV458">
        <v>140</v>
      </c>
      <c r="AW458">
        <v>2</v>
      </c>
      <c r="AX458" t="s">
        <v>74</v>
      </c>
      <c r="AY458" t="s">
        <v>74</v>
      </c>
      <c r="AZ458" t="s">
        <v>74</v>
      </c>
      <c r="BA458" t="s">
        <v>74</v>
      </c>
      <c r="BB458">
        <v>279</v>
      </c>
      <c r="BC458">
        <v>286</v>
      </c>
      <c r="BD458" t="s">
        <v>74</v>
      </c>
      <c r="BE458" t="s">
        <v>6627</v>
      </c>
      <c r="BF458" t="str">
        <f>HYPERLINK("http://dx.doi.org/10.1007/s002270100695","http://dx.doi.org/10.1007/s002270100695")</f>
        <v>http://dx.doi.org/10.1007/s002270100695</v>
      </c>
      <c r="BG458" t="s">
        <v>74</v>
      </c>
      <c r="BH458" t="s">
        <v>74</v>
      </c>
      <c r="BI458">
        <v>8</v>
      </c>
      <c r="BJ458" t="s">
        <v>1919</v>
      </c>
      <c r="BK458" t="s">
        <v>170</v>
      </c>
      <c r="BL458" t="s">
        <v>1919</v>
      </c>
      <c r="BM458" t="s">
        <v>6616</v>
      </c>
      <c r="BN458" t="s">
        <v>74</v>
      </c>
      <c r="BO458" t="s">
        <v>74</v>
      </c>
      <c r="BP458" t="s">
        <v>74</v>
      </c>
      <c r="BQ458" t="s">
        <v>74</v>
      </c>
      <c r="BR458" t="s">
        <v>107</v>
      </c>
      <c r="BS458" t="s">
        <v>6628</v>
      </c>
      <c r="BT458" t="str">
        <f>HYPERLINK("https%3A%2F%2Fwww.webofscience.com%2Fwos%2Fwoscc%2Ffull-record%2FWOS:000174672600007","View Full Record in Web of Science")</f>
        <v>View Full Record in Web of Science</v>
      </c>
    </row>
    <row r="459" spans="1:72" x14ac:dyDescent="0.15">
      <c r="A459" t="s">
        <v>72</v>
      </c>
      <c r="B459" t="s">
        <v>6629</v>
      </c>
      <c r="C459" t="s">
        <v>74</v>
      </c>
      <c r="D459" t="s">
        <v>74</v>
      </c>
      <c r="E459" t="s">
        <v>74</v>
      </c>
      <c r="F459" t="s">
        <v>6629</v>
      </c>
      <c r="G459" t="s">
        <v>74</v>
      </c>
      <c r="H459" t="s">
        <v>74</v>
      </c>
      <c r="I459" t="s">
        <v>6630</v>
      </c>
      <c r="J459" t="s">
        <v>4317</v>
      </c>
      <c r="K459" t="s">
        <v>74</v>
      </c>
      <c r="L459" t="s">
        <v>74</v>
      </c>
      <c r="M459" t="s">
        <v>77</v>
      </c>
      <c r="N459" t="s">
        <v>153</v>
      </c>
      <c r="O459" t="s">
        <v>74</v>
      </c>
      <c r="P459" t="s">
        <v>74</v>
      </c>
      <c r="Q459" t="s">
        <v>74</v>
      </c>
      <c r="R459" t="s">
        <v>74</v>
      </c>
      <c r="S459" t="s">
        <v>74</v>
      </c>
      <c r="T459" t="s">
        <v>6631</v>
      </c>
      <c r="U459" t="s">
        <v>6632</v>
      </c>
      <c r="V459" t="s">
        <v>6633</v>
      </c>
      <c r="W459" t="s">
        <v>6634</v>
      </c>
      <c r="X459" t="s">
        <v>6635</v>
      </c>
      <c r="Y459" t="s">
        <v>6636</v>
      </c>
      <c r="Z459" t="s">
        <v>74</v>
      </c>
      <c r="AA459" t="s">
        <v>74</v>
      </c>
      <c r="AB459" t="s">
        <v>74</v>
      </c>
      <c r="AC459" t="s">
        <v>74</v>
      </c>
      <c r="AD459" t="s">
        <v>74</v>
      </c>
      <c r="AE459" t="s">
        <v>74</v>
      </c>
      <c r="AF459" t="s">
        <v>74</v>
      </c>
      <c r="AG459">
        <v>49</v>
      </c>
      <c r="AH459">
        <v>98</v>
      </c>
      <c r="AI459">
        <v>108</v>
      </c>
      <c r="AJ459">
        <v>0</v>
      </c>
      <c r="AK459">
        <v>35</v>
      </c>
      <c r="AL459" t="s">
        <v>132</v>
      </c>
      <c r="AM459" t="s">
        <v>91</v>
      </c>
      <c r="AN459" t="s">
        <v>133</v>
      </c>
      <c r="AO459" t="s">
        <v>4325</v>
      </c>
      <c r="AP459" t="s">
        <v>74</v>
      </c>
      <c r="AQ459" t="s">
        <v>74</v>
      </c>
      <c r="AR459" t="s">
        <v>4327</v>
      </c>
      <c r="AS459" t="s">
        <v>4328</v>
      </c>
      <c r="AT459" t="s">
        <v>5974</v>
      </c>
      <c r="AU459">
        <v>2002</v>
      </c>
      <c r="AV459">
        <v>77</v>
      </c>
      <c r="AW459" t="s">
        <v>3422</v>
      </c>
      <c r="AX459" t="s">
        <v>74</v>
      </c>
      <c r="AY459" t="s">
        <v>74</v>
      </c>
      <c r="AZ459" t="s">
        <v>74</v>
      </c>
      <c r="BA459" t="s">
        <v>74</v>
      </c>
      <c r="BB459">
        <v>157</v>
      </c>
      <c r="BC459">
        <v>170</v>
      </c>
      <c r="BD459" t="s">
        <v>6637</v>
      </c>
      <c r="BE459" t="s">
        <v>6638</v>
      </c>
      <c r="BF459" t="str">
        <f>HYPERLINK("http://dx.doi.org/10.1016/S0304-4203(01)00084-6","http://dx.doi.org/10.1016/S0304-4203(01)00084-6")</f>
        <v>http://dx.doi.org/10.1016/S0304-4203(01)00084-6</v>
      </c>
      <c r="BG459" t="s">
        <v>74</v>
      </c>
      <c r="BH459" t="s">
        <v>74</v>
      </c>
      <c r="BI459">
        <v>14</v>
      </c>
      <c r="BJ459" t="s">
        <v>4331</v>
      </c>
      <c r="BK459" t="s">
        <v>170</v>
      </c>
      <c r="BL459" t="s">
        <v>4332</v>
      </c>
      <c r="BM459" t="s">
        <v>6639</v>
      </c>
      <c r="BN459" t="s">
        <v>74</v>
      </c>
      <c r="BO459" t="s">
        <v>74</v>
      </c>
      <c r="BP459" t="s">
        <v>74</v>
      </c>
      <c r="BQ459" t="s">
        <v>74</v>
      </c>
      <c r="BR459" t="s">
        <v>107</v>
      </c>
      <c r="BS459" t="s">
        <v>6640</v>
      </c>
      <c r="BT459" t="str">
        <f>HYPERLINK("https%3A%2F%2Fwww.webofscience.com%2Fwos%2Fwoscc%2Ffull-record%2FWOS:000174135600006","View Full Record in Web of Science")</f>
        <v>View Full Record in Web of Science</v>
      </c>
    </row>
    <row r="460" spans="1:72" x14ac:dyDescent="0.15">
      <c r="A460" t="s">
        <v>72</v>
      </c>
      <c r="B460" t="s">
        <v>2124</v>
      </c>
      <c r="C460" t="s">
        <v>74</v>
      </c>
      <c r="D460" t="s">
        <v>74</v>
      </c>
      <c r="E460" t="s">
        <v>74</v>
      </c>
      <c r="F460" t="s">
        <v>2124</v>
      </c>
      <c r="G460" t="s">
        <v>74</v>
      </c>
      <c r="H460" t="s">
        <v>74</v>
      </c>
      <c r="I460" t="s">
        <v>6641</v>
      </c>
      <c r="J460" t="s">
        <v>2920</v>
      </c>
      <c r="K460" t="s">
        <v>74</v>
      </c>
      <c r="L460" t="s">
        <v>74</v>
      </c>
      <c r="M460" t="s">
        <v>77</v>
      </c>
      <c r="N460" t="s">
        <v>1790</v>
      </c>
      <c r="O460" t="s">
        <v>74</v>
      </c>
      <c r="P460" t="s">
        <v>74</v>
      </c>
      <c r="Q460" t="s">
        <v>74</v>
      </c>
      <c r="R460" t="s">
        <v>74</v>
      </c>
      <c r="S460" t="s">
        <v>74</v>
      </c>
      <c r="T460" t="s">
        <v>74</v>
      </c>
      <c r="U460" t="s">
        <v>74</v>
      </c>
      <c r="V460" t="s">
        <v>74</v>
      </c>
      <c r="W460" t="s">
        <v>74</v>
      </c>
      <c r="X460" t="s">
        <v>74</v>
      </c>
      <c r="Y460" t="s">
        <v>74</v>
      </c>
      <c r="Z460" t="s">
        <v>74</v>
      </c>
      <c r="AA460" t="s">
        <v>74</v>
      </c>
      <c r="AB460" t="s">
        <v>74</v>
      </c>
      <c r="AC460" t="s">
        <v>74</v>
      </c>
      <c r="AD460" t="s">
        <v>74</v>
      </c>
      <c r="AE460" t="s">
        <v>74</v>
      </c>
      <c r="AF460" t="s">
        <v>74</v>
      </c>
      <c r="AG460">
        <v>0</v>
      </c>
      <c r="AH460">
        <v>0</v>
      </c>
      <c r="AI460">
        <v>0</v>
      </c>
      <c r="AJ460">
        <v>0</v>
      </c>
      <c r="AK460">
        <v>0</v>
      </c>
      <c r="AL460" t="s">
        <v>1013</v>
      </c>
      <c r="AM460" t="s">
        <v>895</v>
      </c>
      <c r="AN460" t="s">
        <v>1014</v>
      </c>
      <c r="AO460" t="s">
        <v>2926</v>
      </c>
      <c r="AP460" t="s">
        <v>2927</v>
      </c>
      <c r="AQ460" t="s">
        <v>74</v>
      </c>
      <c r="AR460" t="s">
        <v>2928</v>
      </c>
      <c r="AS460" t="s">
        <v>2929</v>
      </c>
      <c r="AT460" t="s">
        <v>5974</v>
      </c>
      <c r="AU460">
        <v>2002</v>
      </c>
      <c r="AV460">
        <v>44</v>
      </c>
      <c r="AW460">
        <v>2</v>
      </c>
      <c r="AX460" t="s">
        <v>74</v>
      </c>
      <c r="AY460" t="s">
        <v>74</v>
      </c>
      <c r="AZ460" t="s">
        <v>74</v>
      </c>
      <c r="BA460" t="s">
        <v>74</v>
      </c>
      <c r="BB460">
        <v>92</v>
      </c>
      <c r="BC460">
        <v>93</v>
      </c>
      <c r="BD460" t="s">
        <v>6642</v>
      </c>
      <c r="BE460" t="s">
        <v>74</v>
      </c>
      <c r="BF460" t="s">
        <v>74</v>
      </c>
      <c r="BG460" t="s">
        <v>74</v>
      </c>
      <c r="BH460" t="s">
        <v>74</v>
      </c>
      <c r="BI460">
        <v>2</v>
      </c>
      <c r="BJ460" t="s">
        <v>2932</v>
      </c>
      <c r="BK460" t="s">
        <v>170</v>
      </c>
      <c r="BL460" t="s">
        <v>2933</v>
      </c>
      <c r="BM460" t="s">
        <v>6643</v>
      </c>
      <c r="BN460" t="s">
        <v>74</v>
      </c>
      <c r="BO460" t="s">
        <v>74</v>
      </c>
      <c r="BP460" t="s">
        <v>74</v>
      </c>
      <c r="BQ460" t="s">
        <v>74</v>
      </c>
      <c r="BR460" t="s">
        <v>107</v>
      </c>
      <c r="BS460" t="s">
        <v>6644</v>
      </c>
      <c r="BT460" t="str">
        <f>HYPERLINK("https%3A%2F%2Fwww.webofscience.com%2Fwos%2Fwoscc%2Ffull-record%2FWOS:000174471300004","View Full Record in Web of Science")</f>
        <v>View Full Record in Web of Science</v>
      </c>
    </row>
    <row r="461" spans="1:72" x14ac:dyDescent="0.15">
      <c r="A461" t="s">
        <v>72</v>
      </c>
      <c r="B461" t="s">
        <v>6645</v>
      </c>
      <c r="C461" t="s">
        <v>74</v>
      </c>
      <c r="D461" t="s">
        <v>74</v>
      </c>
      <c r="E461" t="s">
        <v>74</v>
      </c>
      <c r="F461" t="s">
        <v>6645</v>
      </c>
      <c r="G461" t="s">
        <v>74</v>
      </c>
      <c r="H461" t="s">
        <v>74</v>
      </c>
      <c r="I461" t="s">
        <v>6646</v>
      </c>
      <c r="J461" t="s">
        <v>6647</v>
      </c>
      <c r="K461" t="s">
        <v>74</v>
      </c>
      <c r="L461" t="s">
        <v>74</v>
      </c>
      <c r="M461" t="s">
        <v>77</v>
      </c>
      <c r="N461" t="s">
        <v>751</v>
      </c>
      <c r="O461" t="s">
        <v>74</v>
      </c>
      <c r="P461" t="s">
        <v>74</v>
      </c>
      <c r="Q461" t="s">
        <v>74</v>
      </c>
      <c r="R461" t="s">
        <v>74</v>
      </c>
      <c r="S461" t="s">
        <v>74</v>
      </c>
      <c r="T461" t="s">
        <v>74</v>
      </c>
      <c r="U461" t="s">
        <v>74</v>
      </c>
      <c r="V461" t="s">
        <v>74</v>
      </c>
      <c r="W461" t="s">
        <v>74</v>
      </c>
      <c r="X461" t="s">
        <v>74</v>
      </c>
      <c r="Y461" t="s">
        <v>74</v>
      </c>
      <c r="Z461" t="s">
        <v>74</v>
      </c>
      <c r="AA461" t="s">
        <v>74</v>
      </c>
      <c r="AB461" t="s">
        <v>74</v>
      </c>
      <c r="AC461" t="s">
        <v>74</v>
      </c>
      <c r="AD461" t="s">
        <v>74</v>
      </c>
      <c r="AE461" t="s">
        <v>74</v>
      </c>
      <c r="AF461" t="s">
        <v>74</v>
      </c>
      <c r="AG461">
        <v>4</v>
      </c>
      <c r="AH461">
        <v>0</v>
      </c>
      <c r="AI461">
        <v>0</v>
      </c>
      <c r="AJ461">
        <v>0</v>
      </c>
      <c r="AK461">
        <v>1</v>
      </c>
      <c r="AL461" t="s">
        <v>394</v>
      </c>
      <c r="AM461" t="s">
        <v>395</v>
      </c>
      <c r="AN461" t="s">
        <v>396</v>
      </c>
      <c r="AO461" t="s">
        <v>6648</v>
      </c>
      <c r="AP461" t="s">
        <v>6649</v>
      </c>
      <c r="AQ461" t="s">
        <v>74</v>
      </c>
      <c r="AR461" t="s">
        <v>6650</v>
      </c>
      <c r="AS461" t="s">
        <v>6651</v>
      </c>
      <c r="AT461" t="s">
        <v>5974</v>
      </c>
      <c r="AU461">
        <v>2002</v>
      </c>
      <c r="AV461">
        <v>37</v>
      </c>
      <c r="AW461">
        <v>2</v>
      </c>
      <c r="AX461" t="s">
        <v>74</v>
      </c>
      <c r="AY461" t="s">
        <v>74</v>
      </c>
      <c r="AZ461" t="s">
        <v>74</v>
      </c>
      <c r="BA461" t="s">
        <v>74</v>
      </c>
      <c r="BB461">
        <v>151</v>
      </c>
      <c r="BC461">
        <v>151</v>
      </c>
      <c r="BD461" t="s">
        <v>74</v>
      </c>
      <c r="BE461" t="s">
        <v>6652</v>
      </c>
      <c r="BF461" t="str">
        <f>HYPERLINK("http://dx.doi.org/10.1111/j.1945-5100.2002.tb01100.x","http://dx.doi.org/10.1111/j.1945-5100.2002.tb01100.x")</f>
        <v>http://dx.doi.org/10.1111/j.1945-5100.2002.tb01100.x</v>
      </c>
      <c r="BG461" t="s">
        <v>74</v>
      </c>
      <c r="BH461" t="s">
        <v>74</v>
      </c>
      <c r="BI461">
        <v>1</v>
      </c>
      <c r="BJ461" t="s">
        <v>556</v>
      </c>
      <c r="BK461" t="s">
        <v>170</v>
      </c>
      <c r="BL461" t="s">
        <v>556</v>
      </c>
      <c r="BM461" t="s">
        <v>6653</v>
      </c>
      <c r="BN461" t="s">
        <v>74</v>
      </c>
      <c r="BO461" t="s">
        <v>74</v>
      </c>
      <c r="BP461" t="s">
        <v>74</v>
      </c>
      <c r="BQ461" t="s">
        <v>74</v>
      </c>
      <c r="BR461" t="s">
        <v>107</v>
      </c>
      <c r="BS461" t="s">
        <v>6654</v>
      </c>
      <c r="BT461" t="str">
        <f>HYPERLINK("https%3A%2F%2Fwww.webofscience.com%2Fwos%2Fwoscc%2Ffull-record%2FWOS:000175242700001","View Full Record in Web of Science")</f>
        <v>View Full Record in Web of Science</v>
      </c>
    </row>
    <row r="462" spans="1:72" x14ac:dyDescent="0.15">
      <c r="A462" t="s">
        <v>72</v>
      </c>
      <c r="B462" t="s">
        <v>6655</v>
      </c>
      <c r="C462" t="s">
        <v>74</v>
      </c>
      <c r="D462" t="s">
        <v>74</v>
      </c>
      <c r="E462" t="s">
        <v>74</v>
      </c>
      <c r="F462" t="s">
        <v>6655</v>
      </c>
      <c r="G462" t="s">
        <v>74</v>
      </c>
      <c r="H462" t="s">
        <v>74</v>
      </c>
      <c r="I462" t="s">
        <v>6656</v>
      </c>
      <c r="J462" t="s">
        <v>6647</v>
      </c>
      <c r="K462" t="s">
        <v>74</v>
      </c>
      <c r="L462" t="s">
        <v>74</v>
      </c>
      <c r="M462" t="s">
        <v>77</v>
      </c>
      <c r="N462" t="s">
        <v>153</v>
      </c>
      <c r="O462" t="s">
        <v>74</v>
      </c>
      <c r="P462" t="s">
        <v>74</v>
      </c>
      <c r="Q462" t="s">
        <v>74</v>
      </c>
      <c r="R462" t="s">
        <v>74</v>
      </c>
      <c r="S462" t="s">
        <v>74</v>
      </c>
      <c r="T462" t="s">
        <v>74</v>
      </c>
      <c r="U462" t="s">
        <v>6657</v>
      </c>
      <c r="V462" t="s">
        <v>6658</v>
      </c>
      <c r="W462" t="s">
        <v>6659</v>
      </c>
      <c r="X462" t="s">
        <v>6660</v>
      </c>
      <c r="Y462" t="s">
        <v>6661</v>
      </c>
      <c r="Z462" t="s">
        <v>6662</v>
      </c>
      <c r="AA462" t="s">
        <v>6663</v>
      </c>
      <c r="AB462" t="s">
        <v>6664</v>
      </c>
      <c r="AC462" t="s">
        <v>74</v>
      </c>
      <c r="AD462" t="s">
        <v>74</v>
      </c>
      <c r="AE462" t="s">
        <v>74</v>
      </c>
      <c r="AF462" t="s">
        <v>74</v>
      </c>
      <c r="AG462">
        <v>58</v>
      </c>
      <c r="AH462">
        <v>29</v>
      </c>
      <c r="AI462">
        <v>34</v>
      </c>
      <c r="AJ462">
        <v>0</v>
      </c>
      <c r="AK462">
        <v>10</v>
      </c>
      <c r="AL462" t="s">
        <v>394</v>
      </c>
      <c r="AM462" t="s">
        <v>395</v>
      </c>
      <c r="AN462" t="s">
        <v>396</v>
      </c>
      <c r="AO462" t="s">
        <v>6648</v>
      </c>
      <c r="AP462" t="s">
        <v>6649</v>
      </c>
      <c r="AQ462" t="s">
        <v>74</v>
      </c>
      <c r="AR462" t="s">
        <v>6650</v>
      </c>
      <c r="AS462" t="s">
        <v>6651</v>
      </c>
      <c r="AT462" t="s">
        <v>5974</v>
      </c>
      <c r="AU462">
        <v>2002</v>
      </c>
      <c r="AV462">
        <v>37</v>
      </c>
      <c r="AW462">
        <v>2</v>
      </c>
      <c r="AX462" t="s">
        <v>74</v>
      </c>
      <c r="AY462" t="s">
        <v>74</v>
      </c>
      <c r="AZ462" t="s">
        <v>74</v>
      </c>
      <c r="BA462" t="s">
        <v>74</v>
      </c>
      <c r="BB462">
        <v>209</v>
      </c>
      <c r="BC462">
        <v>228</v>
      </c>
      <c r="BD462" t="s">
        <v>74</v>
      </c>
      <c r="BE462" t="s">
        <v>6665</v>
      </c>
      <c r="BF462" t="str">
        <f>HYPERLINK("http://dx.doi.org/10.1111/j.1945-5100.2002.tb01105.x","http://dx.doi.org/10.1111/j.1945-5100.2002.tb01105.x")</f>
        <v>http://dx.doi.org/10.1111/j.1945-5100.2002.tb01105.x</v>
      </c>
      <c r="BG462" t="s">
        <v>74</v>
      </c>
      <c r="BH462" t="s">
        <v>74</v>
      </c>
      <c r="BI462">
        <v>20</v>
      </c>
      <c r="BJ462" t="s">
        <v>556</v>
      </c>
      <c r="BK462" t="s">
        <v>170</v>
      </c>
      <c r="BL462" t="s">
        <v>556</v>
      </c>
      <c r="BM462" t="s">
        <v>6653</v>
      </c>
      <c r="BN462" t="s">
        <v>74</v>
      </c>
      <c r="BO462" t="s">
        <v>74</v>
      </c>
      <c r="BP462" t="s">
        <v>74</v>
      </c>
      <c r="BQ462" t="s">
        <v>74</v>
      </c>
      <c r="BR462" t="s">
        <v>107</v>
      </c>
      <c r="BS462" t="s">
        <v>6666</v>
      </c>
      <c r="BT462" t="str">
        <f>HYPERLINK("https%3A%2F%2Fwww.webofscience.com%2Fwos%2Fwoscc%2Ffull-record%2FWOS:000175242700006","View Full Record in Web of Science")</f>
        <v>View Full Record in Web of Science</v>
      </c>
    </row>
    <row r="463" spans="1:72" x14ac:dyDescent="0.15">
      <c r="A463" t="s">
        <v>72</v>
      </c>
      <c r="B463" t="s">
        <v>6667</v>
      </c>
      <c r="C463" t="s">
        <v>74</v>
      </c>
      <c r="D463" t="s">
        <v>74</v>
      </c>
      <c r="E463" t="s">
        <v>74</v>
      </c>
      <c r="F463" t="s">
        <v>6667</v>
      </c>
      <c r="G463" t="s">
        <v>74</v>
      </c>
      <c r="H463" t="s">
        <v>74</v>
      </c>
      <c r="I463" t="s">
        <v>6668</v>
      </c>
      <c r="J463" t="s">
        <v>6647</v>
      </c>
      <c r="K463" t="s">
        <v>74</v>
      </c>
      <c r="L463" t="s">
        <v>74</v>
      </c>
      <c r="M463" t="s">
        <v>77</v>
      </c>
      <c r="N463" t="s">
        <v>153</v>
      </c>
      <c r="O463" t="s">
        <v>74</v>
      </c>
      <c r="P463" t="s">
        <v>74</v>
      </c>
      <c r="Q463" t="s">
        <v>74</v>
      </c>
      <c r="R463" t="s">
        <v>74</v>
      </c>
      <c r="S463" t="s">
        <v>74</v>
      </c>
      <c r="T463" t="s">
        <v>74</v>
      </c>
      <c r="U463" t="s">
        <v>6669</v>
      </c>
      <c r="V463" t="s">
        <v>6670</v>
      </c>
      <c r="W463" t="s">
        <v>6671</v>
      </c>
      <c r="X463" t="s">
        <v>6672</v>
      </c>
      <c r="Y463" t="s">
        <v>6673</v>
      </c>
      <c r="Z463" t="s">
        <v>74</v>
      </c>
      <c r="AA463" t="s">
        <v>6674</v>
      </c>
      <c r="AB463" t="s">
        <v>6675</v>
      </c>
      <c r="AC463" t="s">
        <v>74</v>
      </c>
      <c r="AD463" t="s">
        <v>74</v>
      </c>
      <c r="AE463" t="s">
        <v>74</v>
      </c>
      <c r="AF463" t="s">
        <v>74</v>
      </c>
      <c r="AG463">
        <v>50</v>
      </c>
      <c r="AH463">
        <v>29</v>
      </c>
      <c r="AI463">
        <v>30</v>
      </c>
      <c r="AJ463">
        <v>0</v>
      </c>
      <c r="AK463">
        <v>6</v>
      </c>
      <c r="AL463" t="s">
        <v>6676</v>
      </c>
      <c r="AM463" t="s">
        <v>6677</v>
      </c>
      <c r="AN463" t="s">
        <v>6678</v>
      </c>
      <c r="AO463" t="s">
        <v>6648</v>
      </c>
      <c r="AP463" t="s">
        <v>74</v>
      </c>
      <c r="AQ463" t="s">
        <v>74</v>
      </c>
      <c r="AR463" t="s">
        <v>6650</v>
      </c>
      <c r="AS463" t="s">
        <v>6651</v>
      </c>
      <c r="AT463" t="s">
        <v>5974</v>
      </c>
      <c r="AU463">
        <v>2002</v>
      </c>
      <c r="AV463">
        <v>37</v>
      </c>
      <c r="AW463">
        <v>2</v>
      </c>
      <c r="AX463" t="s">
        <v>74</v>
      </c>
      <c r="AY463" t="s">
        <v>74</v>
      </c>
      <c r="AZ463" t="s">
        <v>74</v>
      </c>
      <c r="BA463" t="s">
        <v>74</v>
      </c>
      <c r="BB463">
        <v>229</v>
      </c>
      <c r="BC463">
        <v>244</v>
      </c>
      <c r="BD463" t="s">
        <v>74</v>
      </c>
      <c r="BE463" t="s">
        <v>6679</v>
      </c>
      <c r="BF463" t="str">
        <f>HYPERLINK("http://dx.doi.org/10.1111/j.1945-5100.2002.tb01106.x","http://dx.doi.org/10.1111/j.1945-5100.2002.tb01106.x")</f>
        <v>http://dx.doi.org/10.1111/j.1945-5100.2002.tb01106.x</v>
      </c>
      <c r="BG463" t="s">
        <v>74</v>
      </c>
      <c r="BH463" t="s">
        <v>74</v>
      </c>
      <c r="BI463">
        <v>16</v>
      </c>
      <c r="BJ463" t="s">
        <v>556</v>
      </c>
      <c r="BK463" t="s">
        <v>170</v>
      </c>
      <c r="BL463" t="s">
        <v>556</v>
      </c>
      <c r="BM463" t="s">
        <v>6653</v>
      </c>
      <c r="BN463" t="s">
        <v>74</v>
      </c>
      <c r="BO463" t="s">
        <v>74</v>
      </c>
      <c r="BP463" t="s">
        <v>74</v>
      </c>
      <c r="BQ463" t="s">
        <v>74</v>
      </c>
      <c r="BR463" t="s">
        <v>107</v>
      </c>
      <c r="BS463" t="s">
        <v>6680</v>
      </c>
      <c r="BT463" t="str">
        <f>HYPERLINK("https%3A%2F%2Fwww.webofscience.com%2Fwos%2Fwoscc%2Ffull-record%2FWOS:000175242700007","View Full Record in Web of Science")</f>
        <v>View Full Record in Web of Science</v>
      </c>
    </row>
    <row r="464" spans="1:72" x14ac:dyDescent="0.15">
      <c r="A464" t="s">
        <v>72</v>
      </c>
      <c r="B464" t="s">
        <v>6681</v>
      </c>
      <c r="C464" t="s">
        <v>74</v>
      </c>
      <c r="D464" t="s">
        <v>74</v>
      </c>
      <c r="E464" t="s">
        <v>74</v>
      </c>
      <c r="F464" t="s">
        <v>6681</v>
      </c>
      <c r="G464" t="s">
        <v>74</v>
      </c>
      <c r="H464" t="s">
        <v>74</v>
      </c>
      <c r="I464" t="s">
        <v>6682</v>
      </c>
      <c r="J464" t="s">
        <v>6683</v>
      </c>
      <c r="K464" t="s">
        <v>74</v>
      </c>
      <c r="L464" t="s">
        <v>74</v>
      </c>
      <c r="M464" t="s">
        <v>77</v>
      </c>
      <c r="N464" t="s">
        <v>947</v>
      </c>
      <c r="O464" t="s">
        <v>74</v>
      </c>
      <c r="P464" t="s">
        <v>74</v>
      </c>
      <c r="Q464" t="s">
        <v>74</v>
      </c>
      <c r="R464" t="s">
        <v>74</v>
      </c>
      <c r="S464" t="s">
        <v>74</v>
      </c>
      <c r="T464" t="s">
        <v>6684</v>
      </c>
      <c r="U464" t="s">
        <v>6685</v>
      </c>
      <c r="V464" t="s">
        <v>6686</v>
      </c>
      <c r="W464" t="s">
        <v>4387</v>
      </c>
      <c r="X464" t="s">
        <v>616</v>
      </c>
      <c r="Y464" t="s">
        <v>6687</v>
      </c>
      <c r="Z464" t="s">
        <v>6688</v>
      </c>
      <c r="AA464" t="s">
        <v>74</v>
      </c>
      <c r="AB464" t="s">
        <v>6689</v>
      </c>
      <c r="AC464" t="s">
        <v>74</v>
      </c>
      <c r="AD464" t="s">
        <v>74</v>
      </c>
      <c r="AE464" t="s">
        <v>74</v>
      </c>
      <c r="AF464" t="s">
        <v>74</v>
      </c>
      <c r="AG464">
        <v>69</v>
      </c>
      <c r="AH464">
        <v>27</v>
      </c>
      <c r="AI464">
        <v>36</v>
      </c>
      <c r="AJ464">
        <v>2</v>
      </c>
      <c r="AK464">
        <v>59</v>
      </c>
      <c r="AL464" t="s">
        <v>194</v>
      </c>
      <c r="AM464" t="s">
        <v>195</v>
      </c>
      <c r="AN464" t="s">
        <v>196</v>
      </c>
      <c r="AO464" t="s">
        <v>6690</v>
      </c>
      <c r="AP464" t="s">
        <v>74</v>
      </c>
      <c r="AQ464" t="s">
        <v>74</v>
      </c>
      <c r="AR464" t="s">
        <v>6683</v>
      </c>
      <c r="AS464" t="s">
        <v>6691</v>
      </c>
      <c r="AT464" t="s">
        <v>5974</v>
      </c>
      <c r="AU464">
        <v>2002</v>
      </c>
      <c r="AV464">
        <v>130</v>
      </c>
      <c r="AW464">
        <v>4</v>
      </c>
      <c r="AX464" t="s">
        <v>74</v>
      </c>
      <c r="AY464" t="s">
        <v>74</v>
      </c>
      <c r="AZ464" t="s">
        <v>74</v>
      </c>
      <c r="BA464" t="s">
        <v>74</v>
      </c>
      <c r="BB464">
        <v>485</v>
      </c>
      <c r="BC464">
        <v>495</v>
      </c>
      <c r="BD464" t="s">
        <v>74</v>
      </c>
      <c r="BE464" t="s">
        <v>6692</v>
      </c>
      <c r="BF464" t="str">
        <f>HYPERLINK("http://dx.doi.org/10.1007/s00442-001-0836-x","http://dx.doi.org/10.1007/s00442-001-0836-x")</f>
        <v>http://dx.doi.org/10.1007/s00442-001-0836-x</v>
      </c>
      <c r="BG464" t="s">
        <v>74</v>
      </c>
      <c r="BH464" t="s">
        <v>74</v>
      </c>
      <c r="BI464">
        <v>11</v>
      </c>
      <c r="BJ464" t="s">
        <v>3878</v>
      </c>
      <c r="BK464" t="s">
        <v>170</v>
      </c>
      <c r="BL464" t="s">
        <v>1020</v>
      </c>
      <c r="BM464" t="s">
        <v>6693</v>
      </c>
      <c r="BN464">
        <v>28547249</v>
      </c>
      <c r="BO464" t="s">
        <v>74</v>
      </c>
      <c r="BP464" t="s">
        <v>74</v>
      </c>
      <c r="BQ464" t="s">
        <v>74</v>
      </c>
      <c r="BR464" t="s">
        <v>107</v>
      </c>
      <c r="BS464" t="s">
        <v>6694</v>
      </c>
      <c r="BT464" t="str">
        <f>HYPERLINK("https%3A%2F%2Fwww.webofscience.com%2Fwos%2Fwoscc%2Ffull-record%2FWOS:000174695700001","View Full Record in Web of Science")</f>
        <v>View Full Record in Web of Science</v>
      </c>
    </row>
    <row r="465" spans="1:72" x14ac:dyDescent="0.15">
      <c r="A465" t="s">
        <v>72</v>
      </c>
      <c r="B465" t="s">
        <v>6695</v>
      </c>
      <c r="C465" t="s">
        <v>74</v>
      </c>
      <c r="D465" t="s">
        <v>74</v>
      </c>
      <c r="E465" t="s">
        <v>74</v>
      </c>
      <c r="F465" t="s">
        <v>6695</v>
      </c>
      <c r="G465" t="s">
        <v>74</v>
      </c>
      <c r="H465" t="s">
        <v>74</v>
      </c>
      <c r="I465" t="s">
        <v>6696</v>
      </c>
      <c r="J465" t="s">
        <v>6697</v>
      </c>
      <c r="K465" t="s">
        <v>74</v>
      </c>
      <c r="L465" t="s">
        <v>74</v>
      </c>
      <c r="M465" t="s">
        <v>77</v>
      </c>
      <c r="N465" t="s">
        <v>153</v>
      </c>
      <c r="O465" t="s">
        <v>74</v>
      </c>
      <c r="P465" t="s">
        <v>74</v>
      </c>
      <c r="Q465" t="s">
        <v>74</v>
      </c>
      <c r="R465" t="s">
        <v>74</v>
      </c>
      <c r="S465" t="s">
        <v>74</v>
      </c>
      <c r="T465" t="s">
        <v>6698</v>
      </c>
      <c r="U465" t="s">
        <v>74</v>
      </c>
      <c r="V465" t="s">
        <v>6699</v>
      </c>
      <c r="W465" t="s">
        <v>6700</v>
      </c>
      <c r="X465" t="s">
        <v>74</v>
      </c>
      <c r="Y465" t="s">
        <v>6701</v>
      </c>
      <c r="Z465" t="s">
        <v>6702</v>
      </c>
      <c r="AA465" t="s">
        <v>6703</v>
      </c>
      <c r="AB465" t="s">
        <v>6704</v>
      </c>
      <c r="AC465" t="s">
        <v>74</v>
      </c>
      <c r="AD465" t="s">
        <v>74</v>
      </c>
      <c r="AE465" t="s">
        <v>74</v>
      </c>
      <c r="AF465" t="s">
        <v>74</v>
      </c>
      <c r="AG465">
        <v>8</v>
      </c>
      <c r="AH465">
        <v>5</v>
      </c>
      <c r="AI465">
        <v>8</v>
      </c>
      <c r="AJ465">
        <v>1</v>
      </c>
      <c r="AK465">
        <v>5</v>
      </c>
      <c r="AL465" t="s">
        <v>894</v>
      </c>
      <c r="AM465" t="s">
        <v>895</v>
      </c>
      <c r="AN465" t="s">
        <v>896</v>
      </c>
      <c r="AO465" t="s">
        <v>6705</v>
      </c>
      <c r="AP465" t="s">
        <v>6706</v>
      </c>
      <c r="AQ465" t="s">
        <v>74</v>
      </c>
      <c r="AR465" t="s">
        <v>6707</v>
      </c>
      <c r="AS465" t="s">
        <v>6708</v>
      </c>
      <c r="AT465" t="s">
        <v>6709</v>
      </c>
      <c r="AU465">
        <v>2002</v>
      </c>
      <c r="AV465">
        <v>37</v>
      </c>
      <c r="AW465" t="s">
        <v>3422</v>
      </c>
      <c r="AX465" t="s">
        <v>74</v>
      </c>
      <c r="AY465" t="s">
        <v>74</v>
      </c>
      <c r="AZ465" t="s">
        <v>74</v>
      </c>
      <c r="BA465" t="s">
        <v>74</v>
      </c>
      <c r="BB465">
        <v>187</v>
      </c>
      <c r="BC465">
        <v>202</v>
      </c>
      <c r="BD465" t="s">
        <v>74</v>
      </c>
      <c r="BE465" t="s">
        <v>6710</v>
      </c>
      <c r="BF465" t="str">
        <f>HYPERLINK("http://dx.doi.org/10.1016/S0143-8166(01)00083-5","http://dx.doi.org/10.1016/S0143-8166(01)00083-5")</f>
        <v>http://dx.doi.org/10.1016/S0143-8166(01)00083-5</v>
      </c>
      <c r="BG465" t="s">
        <v>74</v>
      </c>
      <c r="BH465" t="s">
        <v>74</v>
      </c>
      <c r="BI465">
        <v>16</v>
      </c>
      <c r="BJ465" t="s">
        <v>3264</v>
      </c>
      <c r="BK465" t="s">
        <v>170</v>
      </c>
      <c r="BL465" t="s">
        <v>3264</v>
      </c>
      <c r="BM465" t="s">
        <v>6711</v>
      </c>
      <c r="BN465" t="s">
        <v>74</v>
      </c>
      <c r="BO465" t="s">
        <v>74</v>
      </c>
      <c r="BP465" t="s">
        <v>74</v>
      </c>
      <c r="BQ465" t="s">
        <v>74</v>
      </c>
      <c r="BR465" t="s">
        <v>107</v>
      </c>
      <c r="BS465" t="s">
        <v>6712</v>
      </c>
      <c r="BT465" t="str">
        <f>HYPERLINK("https%3A%2F%2Fwww.webofscience.com%2Fwos%2Fwoscc%2Ffull-record%2FWOS:000173532500009","View Full Record in Web of Science")</f>
        <v>View Full Record in Web of Science</v>
      </c>
    </row>
    <row r="466" spans="1:72" x14ac:dyDescent="0.15">
      <c r="A466" t="s">
        <v>72</v>
      </c>
      <c r="B466" t="s">
        <v>6713</v>
      </c>
      <c r="C466" t="s">
        <v>74</v>
      </c>
      <c r="D466" t="s">
        <v>74</v>
      </c>
      <c r="E466" t="s">
        <v>74</v>
      </c>
      <c r="F466" t="s">
        <v>6713</v>
      </c>
      <c r="G466" t="s">
        <v>74</v>
      </c>
      <c r="H466" t="s">
        <v>74</v>
      </c>
      <c r="I466" t="s">
        <v>6714</v>
      </c>
      <c r="J466" t="s">
        <v>152</v>
      </c>
      <c r="K466" t="s">
        <v>74</v>
      </c>
      <c r="L466" t="s">
        <v>74</v>
      </c>
      <c r="M466" t="s">
        <v>77</v>
      </c>
      <c r="N466" t="s">
        <v>153</v>
      </c>
      <c r="O466" t="s">
        <v>74</v>
      </c>
      <c r="P466" t="s">
        <v>74</v>
      </c>
      <c r="Q466" t="s">
        <v>74</v>
      </c>
      <c r="R466" t="s">
        <v>74</v>
      </c>
      <c r="S466" t="s">
        <v>74</v>
      </c>
      <c r="T466" t="s">
        <v>6715</v>
      </c>
      <c r="U466" t="s">
        <v>6716</v>
      </c>
      <c r="V466" t="s">
        <v>6717</v>
      </c>
      <c r="W466" t="s">
        <v>6718</v>
      </c>
      <c r="X466" t="s">
        <v>6719</v>
      </c>
      <c r="Y466" t="s">
        <v>6720</v>
      </c>
      <c r="Z466" t="s">
        <v>6721</v>
      </c>
      <c r="AA466" t="s">
        <v>74</v>
      </c>
      <c r="AB466" t="s">
        <v>74</v>
      </c>
      <c r="AC466" t="s">
        <v>74</v>
      </c>
      <c r="AD466" t="s">
        <v>74</v>
      </c>
      <c r="AE466" t="s">
        <v>74</v>
      </c>
      <c r="AF466" t="s">
        <v>74</v>
      </c>
      <c r="AG466">
        <v>56</v>
      </c>
      <c r="AH466">
        <v>201</v>
      </c>
      <c r="AI466">
        <v>220</v>
      </c>
      <c r="AJ466">
        <v>2</v>
      </c>
      <c r="AK466">
        <v>55</v>
      </c>
      <c r="AL466" t="s">
        <v>161</v>
      </c>
      <c r="AM466" t="s">
        <v>162</v>
      </c>
      <c r="AN466" t="s">
        <v>163</v>
      </c>
      <c r="AO466" t="s">
        <v>164</v>
      </c>
      <c r="AP466" t="s">
        <v>165</v>
      </c>
      <c r="AQ466" t="s">
        <v>74</v>
      </c>
      <c r="AR466" t="s">
        <v>152</v>
      </c>
      <c r="AS466" t="s">
        <v>166</v>
      </c>
      <c r="AT466" t="s">
        <v>5974</v>
      </c>
      <c r="AU466">
        <v>2002</v>
      </c>
      <c r="AV466">
        <v>17</v>
      </c>
      <c r="AW466">
        <v>1</v>
      </c>
      <c r="AX466" t="s">
        <v>74</v>
      </c>
      <c r="AY466" t="s">
        <v>74</v>
      </c>
      <c r="AZ466" t="s">
        <v>74</v>
      </c>
      <c r="BA466" t="s">
        <v>74</v>
      </c>
      <c r="BB466" t="s">
        <v>74</v>
      </c>
      <c r="BC466" t="s">
        <v>74</v>
      </c>
      <c r="BD466">
        <v>1003</v>
      </c>
      <c r="BE466" t="s">
        <v>6722</v>
      </c>
      <c r="BF466" t="str">
        <f>HYPERLINK("http://dx.doi.org/10.1029/2000PA000567","http://dx.doi.org/10.1029/2000PA000567")</f>
        <v>http://dx.doi.org/10.1029/2000PA000567</v>
      </c>
      <c r="BG466" t="s">
        <v>74</v>
      </c>
      <c r="BH466" t="s">
        <v>74</v>
      </c>
      <c r="BI466">
        <v>11</v>
      </c>
      <c r="BJ466" t="s">
        <v>169</v>
      </c>
      <c r="BK466" t="s">
        <v>170</v>
      </c>
      <c r="BL466" t="s">
        <v>171</v>
      </c>
      <c r="BM466" t="s">
        <v>6723</v>
      </c>
      <c r="BN466" t="s">
        <v>74</v>
      </c>
      <c r="BO466" t="s">
        <v>74</v>
      </c>
      <c r="BP466" t="s">
        <v>74</v>
      </c>
      <c r="BQ466" t="s">
        <v>74</v>
      </c>
      <c r="BR466" t="s">
        <v>107</v>
      </c>
      <c r="BS466" t="s">
        <v>6724</v>
      </c>
      <c r="BT466" t="str">
        <f>HYPERLINK("https%3A%2F%2Fwww.webofscience.com%2Fwos%2Fwoscc%2Ffull-record%2FWOS:000175990500003","View Full Record in Web of Science")</f>
        <v>View Full Record in Web of Science</v>
      </c>
    </row>
    <row r="467" spans="1:72" x14ac:dyDescent="0.15">
      <c r="A467" t="s">
        <v>72</v>
      </c>
      <c r="B467" t="s">
        <v>6725</v>
      </c>
      <c r="C467" t="s">
        <v>74</v>
      </c>
      <c r="D467" t="s">
        <v>74</v>
      </c>
      <c r="E467" t="s">
        <v>74</v>
      </c>
      <c r="F467" t="s">
        <v>6725</v>
      </c>
      <c r="G467" t="s">
        <v>74</v>
      </c>
      <c r="H467" t="s">
        <v>74</v>
      </c>
      <c r="I467" t="s">
        <v>6726</v>
      </c>
      <c r="J467" t="s">
        <v>152</v>
      </c>
      <c r="K467" t="s">
        <v>74</v>
      </c>
      <c r="L467" t="s">
        <v>74</v>
      </c>
      <c r="M467" t="s">
        <v>77</v>
      </c>
      <c r="N467" t="s">
        <v>153</v>
      </c>
      <c r="O467" t="s">
        <v>74</v>
      </c>
      <c r="P467" t="s">
        <v>74</v>
      </c>
      <c r="Q467" t="s">
        <v>74</v>
      </c>
      <c r="R467" t="s">
        <v>74</v>
      </c>
      <c r="S467" t="s">
        <v>74</v>
      </c>
      <c r="T467" t="s">
        <v>6727</v>
      </c>
      <c r="U467" t="s">
        <v>6728</v>
      </c>
      <c r="V467" t="s">
        <v>6729</v>
      </c>
      <c r="W467" t="s">
        <v>6730</v>
      </c>
      <c r="X467" t="s">
        <v>6731</v>
      </c>
      <c r="Y467" t="s">
        <v>6732</v>
      </c>
      <c r="Z467" t="s">
        <v>6733</v>
      </c>
      <c r="AA467" t="s">
        <v>74</v>
      </c>
      <c r="AB467" t="s">
        <v>74</v>
      </c>
      <c r="AC467" t="s">
        <v>74</v>
      </c>
      <c r="AD467" t="s">
        <v>74</v>
      </c>
      <c r="AE467" t="s">
        <v>74</v>
      </c>
      <c r="AF467" t="s">
        <v>74</v>
      </c>
      <c r="AG467">
        <v>53</v>
      </c>
      <c r="AH467">
        <v>117</v>
      </c>
      <c r="AI467">
        <v>129</v>
      </c>
      <c r="AJ467">
        <v>1</v>
      </c>
      <c r="AK467">
        <v>16</v>
      </c>
      <c r="AL467" t="s">
        <v>161</v>
      </c>
      <c r="AM467" t="s">
        <v>162</v>
      </c>
      <c r="AN467" t="s">
        <v>163</v>
      </c>
      <c r="AO467" t="s">
        <v>164</v>
      </c>
      <c r="AP467" t="s">
        <v>165</v>
      </c>
      <c r="AQ467" t="s">
        <v>74</v>
      </c>
      <c r="AR467" t="s">
        <v>152</v>
      </c>
      <c r="AS467" t="s">
        <v>166</v>
      </c>
      <c r="AT467" t="s">
        <v>5974</v>
      </c>
      <c r="AU467">
        <v>2002</v>
      </c>
      <c r="AV467">
        <v>17</v>
      </c>
      <c r="AW467">
        <v>1</v>
      </c>
      <c r="AX467" t="s">
        <v>74</v>
      </c>
      <c r="AY467" t="s">
        <v>74</v>
      </c>
      <c r="AZ467" t="s">
        <v>74</v>
      </c>
      <c r="BA467" t="s">
        <v>74</v>
      </c>
      <c r="BB467" t="s">
        <v>74</v>
      </c>
      <c r="BC467" t="s">
        <v>74</v>
      </c>
      <c r="BD467">
        <v>1010</v>
      </c>
      <c r="BE467" t="s">
        <v>6734</v>
      </c>
      <c r="BF467" t="str">
        <f>HYPERLINK("http://dx.doi.org/10.1029/2000PA000565","http://dx.doi.org/10.1029/2000PA000565")</f>
        <v>http://dx.doi.org/10.1029/2000PA000565</v>
      </c>
      <c r="BG467" t="s">
        <v>74</v>
      </c>
      <c r="BH467" t="s">
        <v>74</v>
      </c>
      <c r="BI467">
        <v>8</v>
      </c>
      <c r="BJ467" t="s">
        <v>169</v>
      </c>
      <c r="BK467" t="s">
        <v>170</v>
      </c>
      <c r="BL467" t="s">
        <v>171</v>
      </c>
      <c r="BM467" t="s">
        <v>6723</v>
      </c>
      <c r="BN467" t="s">
        <v>74</v>
      </c>
      <c r="BO467" t="s">
        <v>2089</v>
      </c>
      <c r="BP467" t="s">
        <v>74</v>
      </c>
      <c r="BQ467" t="s">
        <v>74</v>
      </c>
      <c r="BR467" t="s">
        <v>107</v>
      </c>
      <c r="BS467" t="s">
        <v>6735</v>
      </c>
      <c r="BT467" t="str">
        <f>HYPERLINK("https%3A%2F%2Fwww.webofscience.com%2Fwos%2Fwoscc%2Ffull-record%2FWOS:000175990500010","View Full Record in Web of Science")</f>
        <v>View Full Record in Web of Science</v>
      </c>
    </row>
    <row r="468" spans="1:72" x14ac:dyDescent="0.15">
      <c r="A468" t="s">
        <v>72</v>
      </c>
      <c r="B468" t="s">
        <v>6736</v>
      </c>
      <c r="C468" t="s">
        <v>74</v>
      </c>
      <c r="D468" t="s">
        <v>74</v>
      </c>
      <c r="E468" t="s">
        <v>74</v>
      </c>
      <c r="F468" t="s">
        <v>6736</v>
      </c>
      <c r="G468" t="s">
        <v>74</v>
      </c>
      <c r="H468" t="s">
        <v>74</v>
      </c>
      <c r="I468" t="s">
        <v>6737</v>
      </c>
      <c r="J468" t="s">
        <v>263</v>
      </c>
      <c r="K468" t="s">
        <v>74</v>
      </c>
      <c r="L468" t="s">
        <v>74</v>
      </c>
      <c r="M468" t="s">
        <v>77</v>
      </c>
      <c r="N468" t="s">
        <v>153</v>
      </c>
      <c r="O468" t="s">
        <v>74</v>
      </c>
      <c r="P468" t="s">
        <v>74</v>
      </c>
      <c r="Q468" t="s">
        <v>74</v>
      </c>
      <c r="R468" t="s">
        <v>74</v>
      </c>
      <c r="S468" t="s">
        <v>74</v>
      </c>
      <c r="T468" t="s">
        <v>74</v>
      </c>
      <c r="U468" t="s">
        <v>6738</v>
      </c>
      <c r="V468" t="s">
        <v>6739</v>
      </c>
      <c r="W468" t="s">
        <v>6740</v>
      </c>
      <c r="X468" t="s">
        <v>6741</v>
      </c>
      <c r="Y468" t="s">
        <v>6742</v>
      </c>
      <c r="Z468" t="s">
        <v>74</v>
      </c>
      <c r="AA468" t="s">
        <v>6743</v>
      </c>
      <c r="AB468" t="s">
        <v>827</v>
      </c>
      <c r="AC468" t="s">
        <v>74</v>
      </c>
      <c r="AD468" t="s">
        <v>74</v>
      </c>
      <c r="AE468" t="s">
        <v>74</v>
      </c>
      <c r="AF468" t="s">
        <v>74</v>
      </c>
      <c r="AG468">
        <v>39</v>
      </c>
      <c r="AH468">
        <v>62</v>
      </c>
      <c r="AI468">
        <v>67</v>
      </c>
      <c r="AJ468">
        <v>0</v>
      </c>
      <c r="AK468">
        <v>17</v>
      </c>
      <c r="AL468" t="s">
        <v>290</v>
      </c>
      <c r="AM468" t="s">
        <v>195</v>
      </c>
      <c r="AN468" t="s">
        <v>291</v>
      </c>
      <c r="AO468" t="s">
        <v>272</v>
      </c>
      <c r="AP468" t="s">
        <v>74</v>
      </c>
      <c r="AQ468" t="s">
        <v>74</v>
      </c>
      <c r="AR468" t="s">
        <v>274</v>
      </c>
      <c r="AS468" t="s">
        <v>275</v>
      </c>
      <c r="AT468" t="s">
        <v>5974</v>
      </c>
      <c r="AU468">
        <v>2002</v>
      </c>
      <c r="AV468">
        <v>25</v>
      </c>
      <c r="AW468">
        <v>2</v>
      </c>
      <c r="AX468" t="s">
        <v>74</v>
      </c>
      <c r="AY468" t="s">
        <v>74</v>
      </c>
      <c r="AZ468" t="s">
        <v>74</v>
      </c>
      <c r="BA468" t="s">
        <v>74</v>
      </c>
      <c r="BB468">
        <v>81</v>
      </c>
      <c r="BC468">
        <v>89</v>
      </c>
      <c r="BD468" t="s">
        <v>74</v>
      </c>
      <c r="BE468" t="s">
        <v>6744</v>
      </c>
      <c r="BF468" t="str">
        <f>HYPERLINK("http://dx.doi.org/10.1007/s003000100315","http://dx.doi.org/10.1007/s003000100315")</f>
        <v>http://dx.doi.org/10.1007/s003000100315</v>
      </c>
      <c r="BG468" t="s">
        <v>74</v>
      </c>
      <c r="BH468" t="s">
        <v>74</v>
      </c>
      <c r="BI468">
        <v>9</v>
      </c>
      <c r="BJ468" t="s">
        <v>277</v>
      </c>
      <c r="BK468" t="s">
        <v>170</v>
      </c>
      <c r="BL468" t="s">
        <v>278</v>
      </c>
      <c r="BM468" t="s">
        <v>6745</v>
      </c>
      <c r="BN468" t="s">
        <v>74</v>
      </c>
      <c r="BO468" t="s">
        <v>74</v>
      </c>
      <c r="BP468" t="s">
        <v>74</v>
      </c>
      <c r="BQ468" t="s">
        <v>74</v>
      </c>
      <c r="BR468" t="s">
        <v>107</v>
      </c>
      <c r="BS468" t="s">
        <v>6746</v>
      </c>
      <c r="BT468" t="str">
        <f>HYPERLINK("https%3A%2F%2Fwww.webofscience.com%2Fwos%2Fwoscc%2Ffull-record%2FWOS:000174285400001","View Full Record in Web of Science")</f>
        <v>View Full Record in Web of Science</v>
      </c>
    </row>
    <row r="469" spans="1:72" x14ac:dyDescent="0.15">
      <c r="A469" t="s">
        <v>72</v>
      </c>
      <c r="B469" t="s">
        <v>6747</v>
      </c>
      <c r="C469" t="s">
        <v>74</v>
      </c>
      <c r="D469" t="s">
        <v>74</v>
      </c>
      <c r="E469" t="s">
        <v>74</v>
      </c>
      <c r="F469" t="s">
        <v>6747</v>
      </c>
      <c r="G469" t="s">
        <v>74</v>
      </c>
      <c r="H469" t="s">
        <v>74</v>
      </c>
      <c r="I469" t="s">
        <v>6748</v>
      </c>
      <c r="J469" t="s">
        <v>263</v>
      </c>
      <c r="K469" t="s">
        <v>74</v>
      </c>
      <c r="L469" t="s">
        <v>74</v>
      </c>
      <c r="M469" t="s">
        <v>77</v>
      </c>
      <c r="N469" t="s">
        <v>153</v>
      </c>
      <c r="O469" t="s">
        <v>74</v>
      </c>
      <c r="P469" t="s">
        <v>74</v>
      </c>
      <c r="Q469" t="s">
        <v>74</v>
      </c>
      <c r="R469" t="s">
        <v>74</v>
      </c>
      <c r="S469" t="s">
        <v>74</v>
      </c>
      <c r="T469" t="s">
        <v>74</v>
      </c>
      <c r="U469" t="s">
        <v>6749</v>
      </c>
      <c r="V469" t="s">
        <v>6750</v>
      </c>
      <c r="W469" t="s">
        <v>6751</v>
      </c>
      <c r="X469" t="s">
        <v>6752</v>
      </c>
      <c r="Y469" t="s">
        <v>6753</v>
      </c>
      <c r="Z469" t="s">
        <v>6754</v>
      </c>
      <c r="AA469" t="s">
        <v>74</v>
      </c>
      <c r="AB469" t="s">
        <v>6755</v>
      </c>
      <c r="AC469" t="s">
        <v>74</v>
      </c>
      <c r="AD469" t="s">
        <v>74</v>
      </c>
      <c r="AE469" t="s">
        <v>74</v>
      </c>
      <c r="AF469" t="s">
        <v>74</v>
      </c>
      <c r="AG469">
        <v>31</v>
      </c>
      <c r="AH469">
        <v>21</v>
      </c>
      <c r="AI469">
        <v>24</v>
      </c>
      <c r="AJ469">
        <v>0</v>
      </c>
      <c r="AK469">
        <v>13</v>
      </c>
      <c r="AL469" t="s">
        <v>194</v>
      </c>
      <c r="AM469" t="s">
        <v>195</v>
      </c>
      <c r="AN469" t="s">
        <v>271</v>
      </c>
      <c r="AO469" t="s">
        <v>272</v>
      </c>
      <c r="AP469" t="s">
        <v>273</v>
      </c>
      <c r="AQ469" t="s">
        <v>74</v>
      </c>
      <c r="AR469" t="s">
        <v>274</v>
      </c>
      <c r="AS469" t="s">
        <v>275</v>
      </c>
      <c r="AT469" t="s">
        <v>5974</v>
      </c>
      <c r="AU469">
        <v>2002</v>
      </c>
      <c r="AV469">
        <v>25</v>
      </c>
      <c r="AW469">
        <v>2</v>
      </c>
      <c r="AX469" t="s">
        <v>74</v>
      </c>
      <c r="AY469" t="s">
        <v>74</v>
      </c>
      <c r="AZ469" t="s">
        <v>74</v>
      </c>
      <c r="BA469" t="s">
        <v>74</v>
      </c>
      <c r="BB469">
        <v>90</v>
      </c>
      <c r="BC469">
        <v>95</v>
      </c>
      <c r="BD469" t="s">
        <v>74</v>
      </c>
      <c r="BE469" t="s">
        <v>6756</v>
      </c>
      <c r="BF469" t="str">
        <f>HYPERLINK("http://dx.doi.org/10.1007/s003000100316","http://dx.doi.org/10.1007/s003000100316")</f>
        <v>http://dx.doi.org/10.1007/s003000100316</v>
      </c>
      <c r="BG469" t="s">
        <v>74</v>
      </c>
      <c r="BH469" t="s">
        <v>74</v>
      </c>
      <c r="BI469">
        <v>6</v>
      </c>
      <c r="BJ469" t="s">
        <v>277</v>
      </c>
      <c r="BK469" t="s">
        <v>170</v>
      </c>
      <c r="BL469" t="s">
        <v>278</v>
      </c>
      <c r="BM469" t="s">
        <v>6745</v>
      </c>
      <c r="BN469" t="s">
        <v>74</v>
      </c>
      <c r="BO469" t="s">
        <v>74</v>
      </c>
      <c r="BP469" t="s">
        <v>74</v>
      </c>
      <c r="BQ469" t="s">
        <v>74</v>
      </c>
      <c r="BR469" t="s">
        <v>107</v>
      </c>
      <c r="BS469" t="s">
        <v>6757</v>
      </c>
      <c r="BT469" t="str">
        <f>HYPERLINK("https%3A%2F%2Fwww.webofscience.com%2Fwos%2Fwoscc%2Ffull-record%2FWOS:000174285400002","View Full Record in Web of Science")</f>
        <v>View Full Record in Web of Science</v>
      </c>
    </row>
    <row r="470" spans="1:72" x14ac:dyDescent="0.15">
      <c r="A470" t="s">
        <v>72</v>
      </c>
      <c r="B470" t="s">
        <v>6758</v>
      </c>
      <c r="C470" t="s">
        <v>74</v>
      </c>
      <c r="D470" t="s">
        <v>74</v>
      </c>
      <c r="E470" t="s">
        <v>74</v>
      </c>
      <c r="F470" t="s">
        <v>6758</v>
      </c>
      <c r="G470" t="s">
        <v>74</v>
      </c>
      <c r="H470" t="s">
        <v>74</v>
      </c>
      <c r="I470" t="s">
        <v>6759</v>
      </c>
      <c r="J470" t="s">
        <v>263</v>
      </c>
      <c r="K470" t="s">
        <v>74</v>
      </c>
      <c r="L470" t="s">
        <v>74</v>
      </c>
      <c r="M470" t="s">
        <v>77</v>
      </c>
      <c r="N470" t="s">
        <v>153</v>
      </c>
      <c r="O470" t="s">
        <v>74</v>
      </c>
      <c r="P470" t="s">
        <v>74</v>
      </c>
      <c r="Q470" t="s">
        <v>74</v>
      </c>
      <c r="R470" t="s">
        <v>74</v>
      </c>
      <c r="S470" t="s">
        <v>74</v>
      </c>
      <c r="T470" t="s">
        <v>74</v>
      </c>
      <c r="U470" t="s">
        <v>6760</v>
      </c>
      <c r="V470" t="s">
        <v>6761</v>
      </c>
      <c r="W470" t="s">
        <v>6762</v>
      </c>
      <c r="X470" t="s">
        <v>6763</v>
      </c>
      <c r="Y470" t="s">
        <v>6764</v>
      </c>
      <c r="Z470" t="s">
        <v>6765</v>
      </c>
      <c r="AA470" t="s">
        <v>74</v>
      </c>
      <c r="AB470" t="s">
        <v>74</v>
      </c>
      <c r="AC470" t="s">
        <v>74</v>
      </c>
      <c r="AD470" t="s">
        <v>74</v>
      </c>
      <c r="AE470" t="s">
        <v>74</v>
      </c>
      <c r="AF470" t="s">
        <v>74</v>
      </c>
      <c r="AG470">
        <v>54</v>
      </c>
      <c r="AH470">
        <v>73</v>
      </c>
      <c r="AI470">
        <v>78</v>
      </c>
      <c r="AJ470">
        <v>0</v>
      </c>
      <c r="AK470">
        <v>4</v>
      </c>
      <c r="AL470" t="s">
        <v>194</v>
      </c>
      <c r="AM470" t="s">
        <v>195</v>
      </c>
      <c r="AN470" t="s">
        <v>271</v>
      </c>
      <c r="AO470" t="s">
        <v>272</v>
      </c>
      <c r="AP470" t="s">
        <v>273</v>
      </c>
      <c r="AQ470" t="s">
        <v>74</v>
      </c>
      <c r="AR470" t="s">
        <v>274</v>
      </c>
      <c r="AS470" t="s">
        <v>275</v>
      </c>
      <c r="AT470" t="s">
        <v>5974</v>
      </c>
      <c r="AU470">
        <v>2002</v>
      </c>
      <c r="AV470">
        <v>25</v>
      </c>
      <c r="AW470">
        <v>2</v>
      </c>
      <c r="AX470" t="s">
        <v>74</v>
      </c>
      <c r="AY470" t="s">
        <v>74</v>
      </c>
      <c r="AZ470" t="s">
        <v>74</v>
      </c>
      <c r="BA470" t="s">
        <v>74</v>
      </c>
      <c r="BB470">
        <v>96</v>
      </c>
      <c r="BC470">
        <v>105</v>
      </c>
      <c r="BD470" t="s">
        <v>74</v>
      </c>
      <c r="BE470" t="s">
        <v>6766</v>
      </c>
      <c r="BF470" t="str">
        <f>HYPERLINK("http://dx.doi.org/10.1007/s003000100317","http://dx.doi.org/10.1007/s003000100317")</f>
        <v>http://dx.doi.org/10.1007/s003000100317</v>
      </c>
      <c r="BG470" t="s">
        <v>74</v>
      </c>
      <c r="BH470" t="s">
        <v>74</v>
      </c>
      <c r="BI470">
        <v>10</v>
      </c>
      <c r="BJ470" t="s">
        <v>277</v>
      </c>
      <c r="BK470" t="s">
        <v>170</v>
      </c>
      <c r="BL470" t="s">
        <v>278</v>
      </c>
      <c r="BM470" t="s">
        <v>6745</v>
      </c>
      <c r="BN470" t="s">
        <v>74</v>
      </c>
      <c r="BO470" t="s">
        <v>106</v>
      </c>
      <c r="BP470" t="s">
        <v>74</v>
      </c>
      <c r="BQ470" t="s">
        <v>74</v>
      </c>
      <c r="BR470" t="s">
        <v>107</v>
      </c>
      <c r="BS470" t="s">
        <v>6767</v>
      </c>
      <c r="BT470" t="str">
        <f>HYPERLINK("https%3A%2F%2Fwww.webofscience.com%2Fwos%2Fwoscc%2Ffull-record%2FWOS:000174285400003","View Full Record in Web of Science")</f>
        <v>View Full Record in Web of Science</v>
      </c>
    </row>
    <row r="471" spans="1:72" x14ac:dyDescent="0.15">
      <c r="A471" t="s">
        <v>72</v>
      </c>
      <c r="B471" t="s">
        <v>6768</v>
      </c>
      <c r="C471" t="s">
        <v>74</v>
      </c>
      <c r="D471" t="s">
        <v>74</v>
      </c>
      <c r="E471" t="s">
        <v>74</v>
      </c>
      <c r="F471" t="s">
        <v>6768</v>
      </c>
      <c r="G471" t="s">
        <v>74</v>
      </c>
      <c r="H471" t="s">
        <v>74</v>
      </c>
      <c r="I471" t="s">
        <v>6769</v>
      </c>
      <c r="J471" t="s">
        <v>263</v>
      </c>
      <c r="K471" t="s">
        <v>74</v>
      </c>
      <c r="L471" t="s">
        <v>74</v>
      </c>
      <c r="M471" t="s">
        <v>77</v>
      </c>
      <c r="N471" t="s">
        <v>153</v>
      </c>
      <c r="O471" t="s">
        <v>74</v>
      </c>
      <c r="P471" t="s">
        <v>74</v>
      </c>
      <c r="Q471" t="s">
        <v>74</v>
      </c>
      <c r="R471" t="s">
        <v>74</v>
      </c>
      <c r="S471" t="s">
        <v>74</v>
      </c>
      <c r="T471" t="s">
        <v>74</v>
      </c>
      <c r="U471" t="s">
        <v>6770</v>
      </c>
      <c r="V471" t="s">
        <v>6771</v>
      </c>
      <c r="W471" t="s">
        <v>6772</v>
      </c>
      <c r="X471" t="s">
        <v>6773</v>
      </c>
      <c r="Y471" t="s">
        <v>6774</v>
      </c>
      <c r="Z471" t="s">
        <v>6775</v>
      </c>
      <c r="AA471" t="s">
        <v>2249</v>
      </c>
      <c r="AB471" t="s">
        <v>74</v>
      </c>
      <c r="AC471" t="s">
        <v>74</v>
      </c>
      <c r="AD471" t="s">
        <v>74</v>
      </c>
      <c r="AE471" t="s">
        <v>74</v>
      </c>
      <c r="AF471" t="s">
        <v>74</v>
      </c>
      <c r="AG471">
        <v>27</v>
      </c>
      <c r="AH471">
        <v>26</v>
      </c>
      <c r="AI471">
        <v>28</v>
      </c>
      <c r="AJ471">
        <v>0</v>
      </c>
      <c r="AK471">
        <v>16</v>
      </c>
      <c r="AL471" t="s">
        <v>194</v>
      </c>
      <c r="AM471" t="s">
        <v>195</v>
      </c>
      <c r="AN471" t="s">
        <v>196</v>
      </c>
      <c r="AO471" t="s">
        <v>272</v>
      </c>
      <c r="AP471" t="s">
        <v>273</v>
      </c>
      <c r="AQ471" t="s">
        <v>74</v>
      </c>
      <c r="AR471" t="s">
        <v>274</v>
      </c>
      <c r="AS471" t="s">
        <v>275</v>
      </c>
      <c r="AT471" t="s">
        <v>5974</v>
      </c>
      <c r="AU471">
        <v>2002</v>
      </c>
      <c r="AV471">
        <v>25</v>
      </c>
      <c r="AW471">
        <v>2</v>
      </c>
      <c r="AX471" t="s">
        <v>74</v>
      </c>
      <c r="AY471" t="s">
        <v>74</v>
      </c>
      <c r="AZ471" t="s">
        <v>74</v>
      </c>
      <c r="BA471" t="s">
        <v>74</v>
      </c>
      <c r="BB471">
        <v>118</v>
      </c>
      <c r="BC471">
        <v>125</v>
      </c>
      <c r="BD471" t="s">
        <v>74</v>
      </c>
      <c r="BE471" t="s">
        <v>6776</v>
      </c>
      <c r="BF471" t="str">
        <f>HYPERLINK("http://dx.doi.org/10.1007/s003000100319","http://dx.doi.org/10.1007/s003000100319")</f>
        <v>http://dx.doi.org/10.1007/s003000100319</v>
      </c>
      <c r="BG471" t="s">
        <v>74</v>
      </c>
      <c r="BH471" t="s">
        <v>74</v>
      </c>
      <c r="BI471">
        <v>8</v>
      </c>
      <c r="BJ471" t="s">
        <v>277</v>
      </c>
      <c r="BK471" t="s">
        <v>170</v>
      </c>
      <c r="BL471" t="s">
        <v>278</v>
      </c>
      <c r="BM471" t="s">
        <v>6745</v>
      </c>
      <c r="BN471" t="s">
        <v>74</v>
      </c>
      <c r="BO471" t="s">
        <v>74</v>
      </c>
      <c r="BP471" t="s">
        <v>74</v>
      </c>
      <c r="BQ471" t="s">
        <v>74</v>
      </c>
      <c r="BR471" t="s">
        <v>107</v>
      </c>
      <c r="BS471" t="s">
        <v>6777</v>
      </c>
      <c r="BT471" t="str">
        <f>HYPERLINK("https%3A%2F%2Fwww.webofscience.com%2Fwos%2Fwoscc%2Ffull-record%2FWOS:000174285400005","View Full Record in Web of Science")</f>
        <v>View Full Record in Web of Science</v>
      </c>
    </row>
    <row r="472" spans="1:72" x14ac:dyDescent="0.15">
      <c r="A472" t="s">
        <v>72</v>
      </c>
      <c r="B472" t="s">
        <v>6778</v>
      </c>
      <c r="C472" t="s">
        <v>74</v>
      </c>
      <c r="D472" t="s">
        <v>74</v>
      </c>
      <c r="E472" t="s">
        <v>74</v>
      </c>
      <c r="F472" t="s">
        <v>6778</v>
      </c>
      <c r="G472" t="s">
        <v>74</v>
      </c>
      <c r="H472" t="s">
        <v>74</v>
      </c>
      <c r="I472" t="s">
        <v>6779</v>
      </c>
      <c r="J472" t="s">
        <v>263</v>
      </c>
      <c r="K472" t="s">
        <v>74</v>
      </c>
      <c r="L472" t="s">
        <v>74</v>
      </c>
      <c r="M472" t="s">
        <v>77</v>
      </c>
      <c r="N472" t="s">
        <v>153</v>
      </c>
      <c r="O472" t="s">
        <v>74</v>
      </c>
      <c r="P472" t="s">
        <v>74</v>
      </c>
      <c r="Q472" t="s">
        <v>74</v>
      </c>
      <c r="R472" t="s">
        <v>74</v>
      </c>
      <c r="S472" t="s">
        <v>74</v>
      </c>
      <c r="T472" t="s">
        <v>74</v>
      </c>
      <c r="U472" t="s">
        <v>6780</v>
      </c>
      <c r="V472" t="s">
        <v>6781</v>
      </c>
      <c r="W472" t="s">
        <v>6782</v>
      </c>
      <c r="X472" t="s">
        <v>4322</v>
      </c>
      <c r="Y472" t="s">
        <v>6783</v>
      </c>
      <c r="Z472" t="s">
        <v>74</v>
      </c>
      <c r="AA472" t="s">
        <v>6784</v>
      </c>
      <c r="AB472" t="s">
        <v>6785</v>
      </c>
      <c r="AC472" t="s">
        <v>74</v>
      </c>
      <c r="AD472" t="s">
        <v>74</v>
      </c>
      <c r="AE472" t="s">
        <v>74</v>
      </c>
      <c r="AF472" t="s">
        <v>74</v>
      </c>
      <c r="AG472">
        <v>36</v>
      </c>
      <c r="AH472">
        <v>59</v>
      </c>
      <c r="AI472">
        <v>73</v>
      </c>
      <c r="AJ472">
        <v>1</v>
      </c>
      <c r="AK472">
        <v>23</v>
      </c>
      <c r="AL472" t="s">
        <v>290</v>
      </c>
      <c r="AM472" t="s">
        <v>195</v>
      </c>
      <c r="AN472" t="s">
        <v>291</v>
      </c>
      <c r="AO472" t="s">
        <v>272</v>
      </c>
      <c r="AP472" t="s">
        <v>74</v>
      </c>
      <c r="AQ472" t="s">
        <v>74</v>
      </c>
      <c r="AR472" t="s">
        <v>274</v>
      </c>
      <c r="AS472" t="s">
        <v>275</v>
      </c>
      <c r="AT472" t="s">
        <v>5974</v>
      </c>
      <c r="AU472">
        <v>2002</v>
      </c>
      <c r="AV472">
        <v>25</v>
      </c>
      <c r="AW472">
        <v>2</v>
      </c>
      <c r="AX472" t="s">
        <v>74</v>
      </c>
      <c r="AY472" t="s">
        <v>74</v>
      </c>
      <c r="AZ472" t="s">
        <v>74</v>
      </c>
      <c r="BA472" t="s">
        <v>74</v>
      </c>
      <c r="BB472">
        <v>135</v>
      </c>
      <c r="BC472">
        <v>145</v>
      </c>
      <c r="BD472" t="s">
        <v>74</v>
      </c>
      <c r="BE472" t="s">
        <v>6786</v>
      </c>
      <c r="BF472" t="str">
        <f>HYPERLINK("http://dx.doi.org/10.1007/s003000100321","http://dx.doi.org/10.1007/s003000100321")</f>
        <v>http://dx.doi.org/10.1007/s003000100321</v>
      </c>
      <c r="BG472" t="s">
        <v>74</v>
      </c>
      <c r="BH472" t="s">
        <v>74</v>
      </c>
      <c r="BI472">
        <v>11</v>
      </c>
      <c r="BJ472" t="s">
        <v>277</v>
      </c>
      <c r="BK472" t="s">
        <v>170</v>
      </c>
      <c r="BL472" t="s">
        <v>278</v>
      </c>
      <c r="BM472" t="s">
        <v>6745</v>
      </c>
      <c r="BN472" t="s">
        <v>74</v>
      </c>
      <c r="BO472" t="s">
        <v>74</v>
      </c>
      <c r="BP472" t="s">
        <v>74</v>
      </c>
      <c r="BQ472" t="s">
        <v>74</v>
      </c>
      <c r="BR472" t="s">
        <v>107</v>
      </c>
      <c r="BS472" t="s">
        <v>6787</v>
      </c>
      <c r="BT472" t="str">
        <f>HYPERLINK("https%3A%2F%2Fwww.webofscience.com%2Fwos%2Fwoscc%2Ffull-record%2FWOS:000174285400007","View Full Record in Web of Science")</f>
        <v>View Full Record in Web of Science</v>
      </c>
    </row>
    <row r="473" spans="1:72" x14ac:dyDescent="0.15">
      <c r="A473" t="s">
        <v>72</v>
      </c>
      <c r="B473" t="s">
        <v>6788</v>
      </c>
      <c r="C473" t="s">
        <v>74</v>
      </c>
      <c r="D473" t="s">
        <v>74</v>
      </c>
      <c r="E473" t="s">
        <v>74</v>
      </c>
      <c r="F473" t="s">
        <v>6788</v>
      </c>
      <c r="G473" t="s">
        <v>74</v>
      </c>
      <c r="H473" t="s">
        <v>74</v>
      </c>
      <c r="I473" t="s">
        <v>6789</v>
      </c>
      <c r="J473" t="s">
        <v>263</v>
      </c>
      <c r="K473" t="s">
        <v>74</v>
      </c>
      <c r="L473" t="s">
        <v>74</v>
      </c>
      <c r="M473" t="s">
        <v>77</v>
      </c>
      <c r="N473" t="s">
        <v>153</v>
      </c>
      <c r="O473" t="s">
        <v>74</v>
      </c>
      <c r="P473" t="s">
        <v>74</v>
      </c>
      <c r="Q473" t="s">
        <v>74</v>
      </c>
      <c r="R473" t="s">
        <v>74</v>
      </c>
      <c r="S473" t="s">
        <v>74</v>
      </c>
      <c r="T473" t="s">
        <v>74</v>
      </c>
      <c r="U473" t="s">
        <v>6790</v>
      </c>
      <c r="V473" t="s">
        <v>6791</v>
      </c>
      <c r="W473" t="s">
        <v>6792</v>
      </c>
      <c r="X473" t="s">
        <v>6793</v>
      </c>
      <c r="Y473" t="s">
        <v>6794</v>
      </c>
      <c r="Z473" t="s">
        <v>74</v>
      </c>
      <c r="AA473" t="s">
        <v>6795</v>
      </c>
      <c r="AB473" t="s">
        <v>6796</v>
      </c>
      <c r="AC473" t="s">
        <v>74</v>
      </c>
      <c r="AD473" t="s">
        <v>74</v>
      </c>
      <c r="AE473" t="s">
        <v>74</v>
      </c>
      <c r="AF473" t="s">
        <v>74</v>
      </c>
      <c r="AG473">
        <v>79</v>
      </c>
      <c r="AH473">
        <v>52</v>
      </c>
      <c r="AI473">
        <v>58</v>
      </c>
      <c r="AJ473">
        <v>0</v>
      </c>
      <c r="AK473">
        <v>16</v>
      </c>
      <c r="AL473" t="s">
        <v>290</v>
      </c>
      <c r="AM473" t="s">
        <v>195</v>
      </c>
      <c r="AN473" t="s">
        <v>291</v>
      </c>
      <c r="AO473" t="s">
        <v>272</v>
      </c>
      <c r="AP473" t="s">
        <v>74</v>
      </c>
      <c r="AQ473" t="s">
        <v>74</v>
      </c>
      <c r="AR473" t="s">
        <v>274</v>
      </c>
      <c r="AS473" t="s">
        <v>275</v>
      </c>
      <c r="AT473" t="s">
        <v>5974</v>
      </c>
      <c r="AU473">
        <v>2002</v>
      </c>
      <c r="AV473">
        <v>25</v>
      </c>
      <c r="AW473">
        <v>2</v>
      </c>
      <c r="AX473" t="s">
        <v>74</v>
      </c>
      <c r="AY473" t="s">
        <v>74</v>
      </c>
      <c r="AZ473" t="s">
        <v>74</v>
      </c>
      <c r="BA473" t="s">
        <v>74</v>
      </c>
      <c r="BB473">
        <v>146</v>
      </c>
      <c r="BC473">
        <v>158</v>
      </c>
      <c r="BD473" t="s">
        <v>74</v>
      </c>
      <c r="BE473" t="s">
        <v>6797</v>
      </c>
      <c r="BF473" t="str">
        <f>HYPERLINK("http://dx.doi.org/10.1007/s003000100322","http://dx.doi.org/10.1007/s003000100322")</f>
        <v>http://dx.doi.org/10.1007/s003000100322</v>
      </c>
      <c r="BG473" t="s">
        <v>74</v>
      </c>
      <c r="BH473" t="s">
        <v>74</v>
      </c>
      <c r="BI473">
        <v>13</v>
      </c>
      <c r="BJ473" t="s">
        <v>277</v>
      </c>
      <c r="BK473" t="s">
        <v>170</v>
      </c>
      <c r="BL473" t="s">
        <v>278</v>
      </c>
      <c r="BM473" t="s">
        <v>6745</v>
      </c>
      <c r="BN473" t="s">
        <v>74</v>
      </c>
      <c r="BO473" t="s">
        <v>74</v>
      </c>
      <c r="BP473" t="s">
        <v>74</v>
      </c>
      <c r="BQ473" t="s">
        <v>74</v>
      </c>
      <c r="BR473" t="s">
        <v>107</v>
      </c>
      <c r="BS473" t="s">
        <v>6798</v>
      </c>
      <c r="BT473" t="str">
        <f>HYPERLINK("https%3A%2F%2Fwww.webofscience.com%2Fwos%2Fwoscc%2Ffull-record%2FWOS:000174285400008","View Full Record in Web of Science")</f>
        <v>View Full Record in Web of Science</v>
      </c>
    </row>
    <row r="474" spans="1:72" x14ac:dyDescent="0.15">
      <c r="A474" t="s">
        <v>72</v>
      </c>
      <c r="B474" t="s">
        <v>6799</v>
      </c>
      <c r="C474" t="s">
        <v>74</v>
      </c>
      <c r="D474" t="s">
        <v>74</v>
      </c>
      <c r="E474" t="s">
        <v>74</v>
      </c>
      <c r="F474" t="s">
        <v>6799</v>
      </c>
      <c r="G474" t="s">
        <v>74</v>
      </c>
      <c r="H474" t="s">
        <v>74</v>
      </c>
      <c r="I474" t="s">
        <v>6800</v>
      </c>
      <c r="J474" t="s">
        <v>6801</v>
      </c>
      <c r="K474" t="s">
        <v>74</v>
      </c>
      <c r="L474" t="s">
        <v>74</v>
      </c>
      <c r="M474" t="s">
        <v>77</v>
      </c>
      <c r="N474" t="s">
        <v>153</v>
      </c>
      <c r="O474" t="s">
        <v>74</v>
      </c>
      <c r="P474" t="s">
        <v>74</v>
      </c>
      <c r="Q474" t="s">
        <v>74</v>
      </c>
      <c r="R474" t="s">
        <v>74</v>
      </c>
      <c r="S474" t="s">
        <v>74</v>
      </c>
      <c r="T474" t="s">
        <v>6802</v>
      </c>
      <c r="U474" t="s">
        <v>74</v>
      </c>
      <c r="V474" t="s">
        <v>6803</v>
      </c>
      <c r="W474" t="s">
        <v>6804</v>
      </c>
      <c r="X474" t="s">
        <v>6805</v>
      </c>
      <c r="Y474" t="s">
        <v>6806</v>
      </c>
      <c r="Z474" t="s">
        <v>74</v>
      </c>
      <c r="AA474" t="s">
        <v>74</v>
      </c>
      <c r="AB474" t="s">
        <v>74</v>
      </c>
      <c r="AC474" t="s">
        <v>74</v>
      </c>
      <c r="AD474" t="s">
        <v>74</v>
      </c>
      <c r="AE474" t="s">
        <v>74</v>
      </c>
      <c r="AF474" t="s">
        <v>74</v>
      </c>
      <c r="AG474">
        <v>10</v>
      </c>
      <c r="AH474">
        <v>6</v>
      </c>
      <c r="AI474">
        <v>6</v>
      </c>
      <c r="AJ474">
        <v>1</v>
      </c>
      <c r="AK474">
        <v>4</v>
      </c>
      <c r="AL474" t="s">
        <v>6807</v>
      </c>
      <c r="AM474" t="s">
        <v>1287</v>
      </c>
      <c r="AN474" t="s">
        <v>6808</v>
      </c>
      <c r="AO474" t="s">
        <v>6809</v>
      </c>
      <c r="AP474" t="s">
        <v>74</v>
      </c>
      <c r="AQ474" t="s">
        <v>74</v>
      </c>
      <c r="AR474" t="s">
        <v>6810</v>
      </c>
      <c r="AS474" t="s">
        <v>6811</v>
      </c>
      <c r="AT474" t="s">
        <v>5974</v>
      </c>
      <c r="AU474">
        <v>2002</v>
      </c>
      <c r="AV474">
        <v>78</v>
      </c>
      <c r="AW474">
        <v>2</v>
      </c>
      <c r="AX474" t="s">
        <v>74</v>
      </c>
      <c r="AY474" t="s">
        <v>74</v>
      </c>
      <c r="AZ474" t="s">
        <v>74</v>
      </c>
      <c r="BA474" t="s">
        <v>74</v>
      </c>
      <c r="BB474">
        <v>19</v>
      </c>
      <c r="BC474">
        <v>23</v>
      </c>
      <c r="BD474" t="s">
        <v>74</v>
      </c>
      <c r="BE474" t="s">
        <v>6812</v>
      </c>
      <c r="BF474" t="str">
        <f>HYPERLINK("http://dx.doi.org/10.2183/pjab.78.19","http://dx.doi.org/10.2183/pjab.78.19")</f>
        <v>http://dx.doi.org/10.2183/pjab.78.19</v>
      </c>
      <c r="BG474" t="s">
        <v>74</v>
      </c>
      <c r="BH474" t="s">
        <v>74</v>
      </c>
      <c r="BI474">
        <v>5</v>
      </c>
      <c r="BJ474" t="s">
        <v>662</v>
      </c>
      <c r="BK474" t="s">
        <v>170</v>
      </c>
      <c r="BL474" t="s">
        <v>663</v>
      </c>
      <c r="BM474" t="s">
        <v>6813</v>
      </c>
      <c r="BN474" t="s">
        <v>74</v>
      </c>
      <c r="BO474" t="s">
        <v>173</v>
      </c>
      <c r="BP474" t="s">
        <v>74</v>
      </c>
      <c r="BQ474" t="s">
        <v>74</v>
      </c>
      <c r="BR474" t="s">
        <v>107</v>
      </c>
      <c r="BS474" t="s">
        <v>6814</v>
      </c>
      <c r="BT474" t="str">
        <f>HYPERLINK("https%3A%2F%2Fwww.webofscience.com%2Fwos%2Fwoscc%2Ffull-record%2FWOS:000174405400001","View Full Record in Web of Science")</f>
        <v>View Full Record in Web of Science</v>
      </c>
    </row>
    <row r="475" spans="1:72" x14ac:dyDescent="0.15">
      <c r="A475" t="s">
        <v>72</v>
      </c>
      <c r="B475" t="s">
        <v>6815</v>
      </c>
      <c r="C475" t="s">
        <v>74</v>
      </c>
      <c r="D475" t="s">
        <v>74</v>
      </c>
      <c r="E475" t="s">
        <v>74</v>
      </c>
      <c r="F475" t="s">
        <v>6815</v>
      </c>
      <c r="G475" t="s">
        <v>74</v>
      </c>
      <c r="H475" t="s">
        <v>74</v>
      </c>
      <c r="I475" t="s">
        <v>6816</v>
      </c>
      <c r="J475" t="s">
        <v>3040</v>
      </c>
      <c r="K475" t="s">
        <v>74</v>
      </c>
      <c r="L475" t="s">
        <v>74</v>
      </c>
      <c r="M475" t="s">
        <v>77</v>
      </c>
      <c r="N475" t="s">
        <v>153</v>
      </c>
      <c r="O475" t="s">
        <v>74</v>
      </c>
      <c r="P475" t="s">
        <v>74</v>
      </c>
      <c r="Q475" t="s">
        <v>74</v>
      </c>
      <c r="R475" t="s">
        <v>74</v>
      </c>
      <c r="S475" t="s">
        <v>74</v>
      </c>
      <c r="T475" t="s">
        <v>74</v>
      </c>
      <c r="U475" t="s">
        <v>6817</v>
      </c>
      <c r="V475" t="s">
        <v>6818</v>
      </c>
      <c r="W475" t="s">
        <v>6819</v>
      </c>
      <c r="X475" t="s">
        <v>6820</v>
      </c>
      <c r="Y475" t="s">
        <v>6821</v>
      </c>
      <c r="Z475" t="s">
        <v>74</v>
      </c>
      <c r="AA475" t="s">
        <v>74</v>
      </c>
      <c r="AB475" t="s">
        <v>74</v>
      </c>
      <c r="AC475" t="s">
        <v>74</v>
      </c>
      <c r="AD475" t="s">
        <v>74</v>
      </c>
      <c r="AE475" t="s">
        <v>74</v>
      </c>
      <c r="AF475" t="s">
        <v>74</v>
      </c>
      <c r="AG475">
        <v>74</v>
      </c>
      <c r="AH475">
        <v>64</v>
      </c>
      <c r="AI475">
        <v>66</v>
      </c>
      <c r="AJ475">
        <v>0</v>
      </c>
      <c r="AK475">
        <v>24</v>
      </c>
      <c r="AL475" t="s">
        <v>1013</v>
      </c>
      <c r="AM475" t="s">
        <v>895</v>
      </c>
      <c r="AN475" t="s">
        <v>1014</v>
      </c>
      <c r="AO475" t="s">
        <v>3048</v>
      </c>
      <c r="AP475" t="s">
        <v>74</v>
      </c>
      <c r="AQ475" t="s">
        <v>74</v>
      </c>
      <c r="AR475" t="s">
        <v>3049</v>
      </c>
      <c r="AS475" t="s">
        <v>3050</v>
      </c>
      <c r="AT475" t="s">
        <v>5974</v>
      </c>
      <c r="AU475">
        <v>2002</v>
      </c>
      <c r="AV475">
        <v>21</v>
      </c>
      <c r="AW475" t="s">
        <v>6822</v>
      </c>
      <c r="AX475" t="s">
        <v>74</v>
      </c>
      <c r="AY475" t="s">
        <v>74</v>
      </c>
      <c r="AZ475" t="s">
        <v>74</v>
      </c>
      <c r="BA475" t="s">
        <v>74</v>
      </c>
      <c r="BB475">
        <v>683</v>
      </c>
      <c r="BC475">
        <v>707</v>
      </c>
      <c r="BD475" t="s">
        <v>6823</v>
      </c>
      <c r="BE475" t="s">
        <v>6824</v>
      </c>
      <c r="BF475" t="str">
        <f>HYPERLINK("http://dx.doi.org/10.1016/S0277-3791(01)00044-0","http://dx.doi.org/10.1016/S0277-3791(01)00044-0")</f>
        <v>http://dx.doi.org/10.1016/S0277-3791(01)00044-0</v>
      </c>
      <c r="BG475" t="s">
        <v>74</v>
      </c>
      <c r="BH475" t="s">
        <v>74</v>
      </c>
      <c r="BI475">
        <v>25</v>
      </c>
      <c r="BJ475" t="s">
        <v>1218</v>
      </c>
      <c r="BK475" t="s">
        <v>170</v>
      </c>
      <c r="BL475" t="s">
        <v>224</v>
      </c>
      <c r="BM475" t="s">
        <v>6825</v>
      </c>
      <c r="BN475" t="s">
        <v>74</v>
      </c>
      <c r="BO475" t="s">
        <v>74</v>
      </c>
      <c r="BP475" t="s">
        <v>74</v>
      </c>
      <c r="BQ475" t="s">
        <v>74</v>
      </c>
      <c r="BR475" t="s">
        <v>107</v>
      </c>
      <c r="BS475" t="s">
        <v>6826</v>
      </c>
      <c r="BT475" t="str">
        <f>HYPERLINK("https%3A%2F%2Fwww.webofscience.com%2Fwos%2Fwoscc%2Ffull-record%2FWOS:000174213300011","View Full Record in Web of Science")</f>
        <v>View Full Record in Web of Science</v>
      </c>
    </row>
    <row r="476" spans="1:72" x14ac:dyDescent="0.15">
      <c r="A476" t="s">
        <v>72</v>
      </c>
      <c r="B476" t="s">
        <v>6827</v>
      </c>
      <c r="C476" t="s">
        <v>74</v>
      </c>
      <c r="D476" t="s">
        <v>74</v>
      </c>
      <c r="E476" t="s">
        <v>74</v>
      </c>
      <c r="F476" t="s">
        <v>6827</v>
      </c>
      <c r="G476" t="s">
        <v>74</v>
      </c>
      <c r="H476" t="s">
        <v>74</v>
      </c>
      <c r="I476" t="s">
        <v>6828</v>
      </c>
      <c r="J476" t="s">
        <v>3208</v>
      </c>
      <c r="K476" t="s">
        <v>74</v>
      </c>
      <c r="L476" t="s">
        <v>74</v>
      </c>
      <c r="M476" t="s">
        <v>77</v>
      </c>
      <c r="N476" t="s">
        <v>153</v>
      </c>
      <c r="O476" t="s">
        <v>74</v>
      </c>
      <c r="P476" t="s">
        <v>74</v>
      </c>
      <c r="Q476" t="s">
        <v>74</v>
      </c>
      <c r="R476" t="s">
        <v>74</v>
      </c>
      <c r="S476" t="s">
        <v>74</v>
      </c>
      <c r="T476" t="s">
        <v>74</v>
      </c>
      <c r="U476" t="s">
        <v>6829</v>
      </c>
      <c r="V476" t="s">
        <v>6830</v>
      </c>
      <c r="W476" t="s">
        <v>6831</v>
      </c>
      <c r="X476" t="s">
        <v>6832</v>
      </c>
      <c r="Y476" t="s">
        <v>6833</v>
      </c>
      <c r="Z476" t="s">
        <v>74</v>
      </c>
      <c r="AA476" t="s">
        <v>6834</v>
      </c>
      <c r="AB476" t="s">
        <v>6835</v>
      </c>
      <c r="AC476" t="s">
        <v>74</v>
      </c>
      <c r="AD476" t="s">
        <v>74</v>
      </c>
      <c r="AE476" t="s">
        <v>74</v>
      </c>
      <c r="AF476" t="s">
        <v>74</v>
      </c>
      <c r="AG476">
        <v>29</v>
      </c>
      <c r="AH476">
        <v>346</v>
      </c>
      <c r="AI476">
        <v>398</v>
      </c>
      <c r="AJ476">
        <v>2</v>
      </c>
      <c r="AK476">
        <v>110</v>
      </c>
      <c r="AL476" t="s">
        <v>3214</v>
      </c>
      <c r="AM476" t="s">
        <v>1127</v>
      </c>
      <c r="AN476" t="s">
        <v>3215</v>
      </c>
      <c r="AO476" t="s">
        <v>3216</v>
      </c>
      <c r="AP476" t="s">
        <v>74</v>
      </c>
      <c r="AQ476" t="s">
        <v>74</v>
      </c>
      <c r="AR476" t="s">
        <v>3208</v>
      </c>
      <c r="AS476" t="s">
        <v>3218</v>
      </c>
      <c r="AT476" t="s">
        <v>6836</v>
      </c>
      <c r="AU476">
        <v>2002</v>
      </c>
      <c r="AV476">
        <v>415</v>
      </c>
      <c r="AW476">
        <v>6871</v>
      </c>
      <c r="AX476" t="s">
        <v>74</v>
      </c>
      <c r="AY476" t="s">
        <v>74</v>
      </c>
      <c r="AZ476" t="s">
        <v>74</v>
      </c>
      <c r="BA476" t="s">
        <v>74</v>
      </c>
      <c r="BB476">
        <v>517</v>
      </c>
      <c r="BC476">
        <v>520</v>
      </c>
      <c r="BD476" t="s">
        <v>74</v>
      </c>
      <c r="BE476" t="s">
        <v>6837</v>
      </c>
      <c r="BF476" t="str">
        <f>HYPERLINK("http://dx.doi.org/10.1038/nature710","http://dx.doi.org/10.1038/nature710")</f>
        <v>http://dx.doi.org/10.1038/nature710</v>
      </c>
      <c r="BG476" t="s">
        <v>74</v>
      </c>
      <c r="BH476" t="s">
        <v>74</v>
      </c>
      <c r="BI476">
        <v>4</v>
      </c>
      <c r="BJ476" t="s">
        <v>662</v>
      </c>
      <c r="BK476" t="s">
        <v>170</v>
      </c>
      <c r="BL476" t="s">
        <v>663</v>
      </c>
      <c r="BM476" t="s">
        <v>6838</v>
      </c>
      <c r="BN476">
        <v>11793010</v>
      </c>
      <c r="BO476" t="s">
        <v>74</v>
      </c>
      <c r="BP476" t="s">
        <v>74</v>
      </c>
      <c r="BQ476" t="s">
        <v>74</v>
      </c>
      <c r="BR476" t="s">
        <v>107</v>
      </c>
      <c r="BS476" t="s">
        <v>6839</v>
      </c>
      <c r="BT476" t="str">
        <f>HYPERLINK("https%3A%2F%2Fwww.webofscience.com%2Fwos%2Fwoscc%2Ffull-record%2FWOS:000173564300044","View Full Record in Web of Science")</f>
        <v>View Full Record in Web of Science</v>
      </c>
    </row>
    <row r="477" spans="1:72" x14ac:dyDescent="0.15">
      <c r="A477" t="s">
        <v>72</v>
      </c>
      <c r="B477" t="s">
        <v>6840</v>
      </c>
      <c r="C477" t="s">
        <v>74</v>
      </c>
      <c r="D477" t="s">
        <v>74</v>
      </c>
      <c r="E477" t="s">
        <v>74</v>
      </c>
      <c r="F477" t="s">
        <v>6840</v>
      </c>
      <c r="G477" t="s">
        <v>74</v>
      </c>
      <c r="H477" t="s">
        <v>74</v>
      </c>
      <c r="I477" t="s">
        <v>6841</v>
      </c>
      <c r="J477" t="s">
        <v>6842</v>
      </c>
      <c r="K477" t="s">
        <v>74</v>
      </c>
      <c r="L477" t="s">
        <v>74</v>
      </c>
      <c r="M477" t="s">
        <v>77</v>
      </c>
      <c r="N477" t="s">
        <v>153</v>
      </c>
      <c r="O477" t="s">
        <v>74</v>
      </c>
      <c r="P477" t="s">
        <v>74</v>
      </c>
      <c r="Q477" t="s">
        <v>74</v>
      </c>
      <c r="R477" t="s">
        <v>74</v>
      </c>
      <c r="S477" t="s">
        <v>74</v>
      </c>
      <c r="T477" t="s">
        <v>6843</v>
      </c>
      <c r="U477" t="s">
        <v>6844</v>
      </c>
      <c r="V477" t="s">
        <v>6845</v>
      </c>
      <c r="W477" t="s">
        <v>6846</v>
      </c>
      <c r="X477" t="s">
        <v>6847</v>
      </c>
      <c r="Y477" t="s">
        <v>6848</v>
      </c>
      <c r="Z477" t="s">
        <v>6849</v>
      </c>
      <c r="AA477" t="s">
        <v>3445</v>
      </c>
      <c r="AB477" t="s">
        <v>6850</v>
      </c>
      <c r="AC477" t="s">
        <v>74</v>
      </c>
      <c r="AD477" t="s">
        <v>74</v>
      </c>
      <c r="AE477" t="s">
        <v>74</v>
      </c>
      <c r="AF477" t="s">
        <v>74</v>
      </c>
      <c r="AG477">
        <v>69</v>
      </c>
      <c r="AH477">
        <v>44</v>
      </c>
      <c r="AI477">
        <v>45</v>
      </c>
      <c r="AJ477">
        <v>0</v>
      </c>
      <c r="AK477">
        <v>11</v>
      </c>
      <c r="AL477" t="s">
        <v>161</v>
      </c>
      <c r="AM477" t="s">
        <v>162</v>
      </c>
      <c r="AN477" t="s">
        <v>163</v>
      </c>
      <c r="AO477" t="s">
        <v>74</v>
      </c>
      <c r="AP477" t="s">
        <v>6851</v>
      </c>
      <c r="AQ477" t="s">
        <v>74</v>
      </c>
      <c r="AR477" t="s">
        <v>6852</v>
      </c>
      <c r="AS477" t="s">
        <v>6853</v>
      </c>
      <c r="AT477" t="s">
        <v>6854</v>
      </c>
      <c r="AU477">
        <v>2002</v>
      </c>
      <c r="AV477">
        <v>3</v>
      </c>
      <c r="AW477" t="s">
        <v>74</v>
      </c>
      <c r="AX477" t="s">
        <v>74</v>
      </c>
      <c r="AY477" t="s">
        <v>74</v>
      </c>
      <c r="AZ477" t="s">
        <v>74</v>
      </c>
      <c r="BA477" t="s">
        <v>74</v>
      </c>
      <c r="BB477" t="s">
        <v>74</v>
      </c>
      <c r="BC477" t="s">
        <v>74</v>
      </c>
      <c r="BD477">
        <v>1008</v>
      </c>
      <c r="BE477" t="s">
        <v>6855</v>
      </c>
      <c r="BF477" t="str">
        <f>HYPERLINK("http://dx.doi.org/10.1029/2001GC000182","http://dx.doi.org/10.1029/2001GC000182")</f>
        <v>http://dx.doi.org/10.1029/2001GC000182</v>
      </c>
      <c r="BG477" t="s">
        <v>74</v>
      </c>
      <c r="BH477" t="s">
        <v>74</v>
      </c>
      <c r="BI477">
        <v>18</v>
      </c>
      <c r="BJ477" t="s">
        <v>556</v>
      </c>
      <c r="BK477" t="s">
        <v>170</v>
      </c>
      <c r="BL477" t="s">
        <v>556</v>
      </c>
      <c r="BM477" t="s">
        <v>6856</v>
      </c>
      <c r="BN477" t="s">
        <v>74</v>
      </c>
      <c r="BO477" t="s">
        <v>106</v>
      </c>
      <c r="BP477" t="s">
        <v>74</v>
      </c>
      <c r="BQ477" t="s">
        <v>74</v>
      </c>
      <c r="BR477" t="s">
        <v>107</v>
      </c>
      <c r="BS477" t="s">
        <v>6857</v>
      </c>
      <c r="BT477" t="str">
        <f>HYPERLINK("https%3A%2F%2Fwww.webofscience.com%2Fwos%2Fwoscc%2Ffull-record%2FWOS:000173587700001","View Full Record in Web of Science")</f>
        <v>View Full Record in Web of Science</v>
      </c>
    </row>
    <row r="478" spans="1:72" x14ac:dyDescent="0.15">
      <c r="A478" t="s">
        <v>72</v>
      </c>
      <c r="B478" t="s">
        <v>6858</v>
      </c>
      <c r="C478" t="s">
        <v>74</v>
      </c>
      <c r="D478" t="s">
        <v>74</v>
      </c>
      <c r="E478" t="s">
        <v>74</v>
      </c>
      <c r="F478" t="s">
        <v>6858</v>
      </c>
      <c r="G478" t="s">
        <v>74</v>
      </c>
      <c r="H478" t="s">
        <v>74</v>
      </c>
      <c r="I478" t="s">
        <v>6859</v>
      </c>
      <c r="J478" t="s">
        <v>646</v>
      </c>
      <c r="K478" t="s">
        <v>74</v>
      </c>
      <c r="L478" t="s">
        <v>74</v>
      </c>
      <c r="M478" t="s">
        <v>77</v>
      </c>
      <c r="N478" t="s">
        <v>947</v>
      </c>
      <c r="O478" t="s">
        <v>74</v>
      </c>
      <c r="P478" t="s">
        <v>74</v>
      </c>
      <c r="Q478" t="s">
        <v>74</v>
      </c>
      <c r="R478" t="s">
        <v>74</v>
      </c>
      <c r="S478" t="s">
        <v>74</v>
      </c>
      <c r="T478" t="s">
        <v>74</v>
      </c>
      <c r="U478" t="s">
        <v>6860</v>
      </c>
      <c r="V478" t="s">
        <v>6861</v>
      </c>
      <c r="W478" t="s">
        <v>6862</v>
      </c>
      <c r="X478" t="s">
        <v>2368</v>
      </c>
      <c r="Y478" t="s">
        <v>6863</v>
      </c>
      <c r="Z478" t="s">
        <v>74</v>
      </c>
      <c r="AA478" t="s">
        <v>6864</v>
      </c>
      <c r="AB478" t="s">
        <v>6865</v>
      </c>
      <c r="AC478" t="s">
        <v>74</v>
      </c>
      <c r="AD478" t="s">
        <v>74</v>
      </c>
      <c r="AE478" t="s">
        <v>74</v>
      </c>
      <c r="AF478" t="s">
        <v>74</v>
      </c>
      <c r="AG478">
        <v>41</v>
      </c>
      <c r="AH478">
        <v>456</v>
      </c>
      <c r="AI478">
        <v>545</v>
      </c>
      <c r="AJ478">
        <v>8</v>
      </c>
      <c r="AK478">
        <v>219</v>
      </c>
      <c r="AL478" t="s">
        <v>655</v>
      </c>
      <c r="AM478" t="s">
        <v>162</v>
      </c>
      <c r="AN478" t="s">
        <v>656</v>
      </c>
      <c r="AO478" t="s">
        <v>657</v>
      </c>
      <c r="AP478" t="s">
        <v>74</v>
      </c>
      <c r="AQ478" t="s">
        <v>74</v>
      </c>
      <c r="AR478" t="s">
        <v>646</v>
      </c>
      <c r="AS478" t="s">
        <v>659</v>
      </c>
      <c r="AT478" t="s">
        <v>6866</v>
      </c>
      <c r="AU478">
        <v>2002</v>
      </c>
      <c r="AV478">
        <v>295</v>
      </c>
      <c r="AW478">
        <v>5555</v>
      </c>
      <c r="AX478" t="s">
        <v>74</v>
      </c>
      <c r="AY478" t="s">
        <v>74</v>
      </c>
      <c r="AZ478" t="s">
        <v>74</v>
      </c>
      <c r="BA478" t="s">
        <v>74</v>
      </c>
      <c r="BB478">
        <v>641</v>
      </c>
      <c r="BC478">
        <v>644</v>
      </c>
      <c r="BD478" t="s">
        <v>74</v>
      </c>
      <c r="BE478" t="s">
        <v>6867</v>
      </c>
      <c r="BF478" t="str">
        <f>HYPERLINK("http://dx.doi.org/10.1126/science.1063391","http://dx.doi.org/10.1126/science.1063391")</f>
        <v>http://dx.doi.org/10.1126/science.1063391</v>
      </c>
      <c r="BG478" t="s">
        <v>74</v>
      </c>
      <c r="BH478" t="s">
        <v>74</v>
      </c>
      <c r="BI478">
        <v>4</v>
      </c>
      <c r="BJ478" t="s">
        <v>662</v>
      </c>
      <c r="BK478" t="s">
        <v>170</v>
      </c>
      <c r="BL478" t="s">
        <v>663</v>
      </c>
      <c r="BM478" t="s">
        <v>6868</v>
      </c>
      <c r="BN478">
        <v>11809961</v>
      </c>
      <c r="BO478" t="s">
        <v>665</v>
      </c>
      <c r="BP478" t="s">
        <v>74</v>
      </c>
      <c r="BQ478" t="s">
        <v>74</v>
      </c>
      <c r="BR478" t="s">
        <v>107</v>
      </c>
      <c r="BS478" t="s">
        <v>6869</v>
      </c>
      <c r="BT478" t="str">
        <f>HYPERLINK("https%3A%2F%2Fwww.webofscience.com%2Fwos%2Fwoscc%2Ffull-record%2FWOS:000173560900033","View Full Record in Web of Science")</f>
        <v>View Full Record in Web of Science</v>
      </c>
    </row>
    <row r="479" spans="1:72" x14ac:dyDescent="0.15">
      <c r="A479" t="s">
        <v>72</v>
      </c>
      <c r="B479" t="s">
        <v>6870</v>
      </c>
      <c r="C479" t="s">
        <v>74</v>
      </c>
      <c r="D479" t="s">
        <v>74</v>
      </c>
      <c r="E479" t="s">
        <v>74</v>
      </c>
      <c r="F479" t="s">
        <v>6870</v>
      </c>
      <c r="G479" t="s">
        <v>74</v>
      </c>
      <c r="H479" t="s">
        <v>74</v>
      </c>
      <c r="I479" t="s">
        <v>6871</v>
      </c>
      <c r="J479" t="s">
        <v>646</v>
      </c>
      <c r="K479" t="s">
        <v>74</v>
      </c>
      <c r="L479" t="s">
        <v>74</v>
      </c>
      <c r="M479" t="s">
        <v>77</v>
      </c>
      <c r="N479" t="s">
        <v>153</v>
      </c>
      <c r="O479" t="s">
        <v>74</v>
      </c>
      <c r="P479" t="s">
        <v>74</v>
      </c>
      <c r="Q479" t="s">
        <v>74</v>
      </c>
      <c r="R479" t="s">
        <v>74</v>
      </c>
      <c r="S479" t="s">
        <v>74</v>
      </c>
      <c r="T479" t="s">
        <v>74</v>
      </c>
      <c r="U479" t="s">
        <v>6872</v>
      </c>
      <c r="V479" t="s">
        <v>74</v>
      </c>
      <c r="W479" t="s">
        <v>6873</v>
      </c>
      <c r="X479" t="s">
        <v>6874</v>
      </c>
      <c r="Y479" t="s">
        <v>6875</v>
      </c>
      <c r="Z479" t="s">
        <v>74</v>
      </c>
      <c r="AA479" t="s">
        <v>6876</v>
      </c>
      <c r="AB479" t="s">
        <v>6877</v>
      </c>
      <c r="AC479" t="s">
        <v>74</v>
      </c>
      <c r="AD479" t="s">
        <v>74</v>
      </c>
      <c r="AE479" t="s">
        <v>74</v>
      </c>
      <c r="AF479" t="s">
        <v>74</v>
      </c>
      <c r="AG479">
        <v>7</v>
      </c>
      <c r="AH479">
        <v>233</v>
      </c>
      <c r="AI479">
        <v>251</v>
      </c>
      <c r="AJ479">
        <v>1</v>
      </c>
      <c r="AK479">
        <v>65</v>
      </c>
      <c r="AL479" t="s">
        <v>655</v>
      </c>
      <c r="AM479" t="s">
        <v>162</v>
      </c>
      <c r="AN479" t="s">
        <v>656</v>
      </c>
      <c r="AO479" t="s">
        <v>657</v>
      </c>
      <c r="AP479" t="s">
        <v>74</v>
      </c>
      <c r="AQ479" t="s">
        <v>74</v>
      </c>
      <c r="AR479" t="s">
        <v>646</v>
      </c>
      <c r="AS479" t="s">
        <v>659</v>
      </c>
      <c r="AT479" t="s">
        <v>6866</v>
      </c>
      <c r="AU479">
        <v>2002</v>
      </c>
      <c r="AV479">
        <v>295</v>
      </c>
      <c r="AW479">
        <v>5555</v>
      </c>
      <c r="AX479" t="s">
        <v>74</v>
      </c>
      <c r="AY479" t="s">
        <v>74</v>
      </c>
      <c r="AZ479" t="s">
        <v>74</v>
      </c>
      <c r="BA479" t="s">
        <v>74</v>
      </c>
      <c r="BB479">
        <v>645</v>
      </c>
      <c r="BC479">
        <v>645</v>
      </c>
      <c r="BD479" t="s">
        <v>74</v>
      </c>
      <c r="BE479" t="s">
        <v>6878</v>
      </c>
      <c r="BF479" t="str">
        <f>HYPERLINK("http://dx.doi.org/10.1126/science.1064074","http://dx.doi.org/10.1126/science.1064074")</f>
        <v>http://dx.doi.org/10.1126/science.1064074</v>
      </c>
      <c r="BG479" t="s">
        <v>74</v>
      </c>
      <c r="BH479" t="s">
        <v>74</v>
      </c>
      <c r="BI479">
        <v>1</v>
      </c>
      <c r="BJ479" t="s">
        <v>662</v>
      </c>
      <c r="BK479" t="s">
        <v>170</v>
      </c>
      <c r="BL479" t="s">
        <v>663</v>
      </c>
      <c r="BM479" t="s">
        <v>6868</v>
      </c>
      <c r="BN479">
        <v>11809962</v>
      </c>
      <c r="BO479" t="s">
        <v>74</v>
      </c>
      <c r="BP479" t="s">
        <v>74</v>
      </c>
      <c r="BQ479" t="s">
        <v>74</v>
      </c>
      <c r="BR479" t="s">
        <v>107</v>
      </c>
      <c r="BS479" t="s">
        <v>6879</v>
      </c>
      <c r="BT479" t="str">
        <f>HYPERLINK("https%3A%2F%2Fwww.webofscience.com%2Fwos%2Fwoscc%2Ffull-record%2FWOS:000173560900034","View Full Record in Web of Science")</f>
        <v>View Full Record in Web of Science</v>
      </c>
    </row>
    <row r="480" spans="1:72" x14ac:dyDescent="0.15">
      <c r="A480" t="s">
        <v>72</v>
      </c>
      <c r="B480" t="s">
        <v>6880</v>
      </c>
      <c r="C480" t="s">
        <v>74</v>
      </c>
      <c r="D480" t="s">
        <v>74</v>
      </c>
      <c r="E480" t="s">
        <v>74</v>
      </c>
      <c r="F480" t="s">
        <v>6880</v>
      </c>
      <c r="G480" t="s">
        <v>74</v>
      </c>
      <c r="H480" t="s">
        <v>74</v>
      </c>
      <c r="I480" t="s">
        <v>6881</v>
      </c>
      <c r="J480" t="s">
        <v>6882</v>
      </c>
      <c r="K480" t="s">
        <v>74</v>
      </c>
      <c r="L480" t="s">
        <v>74</v>
      </c>
      <c r="M480" t="s">
        <v>77</v>
      </c>
      <c r="N480" t="s">
        <v>153</v>
      </c>
      <c r="O480" t="s">
        <v>74</v>
      </c>
      <c r="P480" t="s">
        <v>74</v>
      </c>
      <c r="Q480" t="s">
        <v>74</v>
      </c>
      <c r="R480" t="s">
        <v>74</v>
      </c>
      <c r="S480" t="s">
        <v>74</v>
      </c>
      <c r="T480" t="s">
        <v>6883</v>
      </c>
      <c r="U480" t="s">
        <v>6884</v>
      </c>
      <c r="V480" t="s">
        <v>6885</v>
      </c>
      <c r="W480" t="s">
        <v>6886</v>
      </c>
      <c r="X480" t="s">
        <v>6887</v>
      </c>
      <c r="Y480" t="s">
        <v>6888</v>
      </c>
      <c r="Z480" t="s">
        <v>74</v>
      </c>
      <c r="AA480" t="s">
        <v>6889</v>
      </c>
      <c r="AB480" t="s">
        <v>6890</v>
      </c>
      <c r="AC480" t="s">
        <v>74</v>
      </c>
      <c r="AD480" t="s">
        <v>74</v>
      </c>
      <c r="AE480" t="s">
        <v>74</v>
      </c>
      <c r="AF480" t="s">
        <v>74</v>
      </c>
      <c r="AG480">
        <v>43</v>
      </c>
      <c r="AH480">
        <v>16</v>
      </c>
      <c r="AI480">
        <v>18</v>
      </c>
      <c r="AJ480">
        <v>1</v>
      </c>
      <c r="AK480">
        <v>10</v>
      </c>
      <c r="AL480" t="s">
        <v>523</v>
      </c>
      <c r="AM480" t="s">
        <v>524</v>
      </c>
      <c r="AN480" t="s">
        <v>525</v>
      </c>
      <c r="AO480" t="s">
        <v>6891</v>
      </c>
      <c r="AP480" t="s">
        <v>74</v>
      </c>
      <c r="AQ480" t="s">
        <v>74</v>
      </c>
      <c r="AR480" t="s">
        <v>6892</v>
      </c>
      <c r="AS480" t="s">
        <v>6893</v>
      </c>
      <c r="AT480" t="s">
        <v>6894</v>
      </c>
      <c r="AU480">
        <v>2002</v>
      </c>
      <c r="AV480">
        <v>19</v>
      </c>
      <c r="AW480">
        <v>3</v>
      </c>
      <c r="AX480" t="s">
        <v>74</v>
      </c>
      <c r="AY480" t="s">
        <v>74</v>
      </c>
      <c r="AZ480" t="s">
        <v>74</v>
      </c>
      <c r="BA480" t="s">
        <v>74</v>
      </c>
      <c r="BB480">
        <v>213</v>
      </c>
      <c r="BC480">
        <v>231</v>
      </c>
      <c r="BD480" t="s">
        <v>74</v>
      </c>
      <c r="BE480" t="s">
        <v>6895</v>
      </c>
      <c r="BF480" t="str">
        <f>HYPERLINK("http://dx.doi.org/10.3354/cr019213","http://dx.doi.org/10.3354/cr019213")</f>
        <v>http://dx.doi.org/10.3354/cr019213</v>
      </c>
      <c r="BG480" t="s">
        <v>74</v>
      </c>
      <c r="BH480" t="s">
        <v>74</v>
      </c>
      <c r="BI480">
        <v>19</v>
      </c>
      <c r="BJ480" t="s">
        <v>2358</v>
      </c>
      <c r="BK480" t="s">
        <v>170</v>
      </c>
      <c r="BL480" t="s">
        <v>2359</v>
      </c>
      <c r="BM480" t="s">
        <v>6896</v>
      </c>
      <c r="BN480" t="s">
        <v>74</v>
      </c>
      <c r="BO480" t="s">
        <v>1767</v>
      </c>
      <c r="BP480" t="s">
        <v>74</v>
      </c>
      <c r="BQ480" t="s">
        <v>74</v>
      </c>
      <c r="BR480" t="s">
        <v>107</v>
      </c>
      <c r="BS480" t="s">
        <v>6897</v>
      </c>
      <c r="BT480" t="str">
        <f>HYPERLINK("https%3A%2F%2Fwww.webofscience.com%2Fwos%2Fwoscc%2Ffull-record%2FWOS:000174335500003","View Full Record in Web of Science")</f>
        <v>View Full Record in Web of Science</v>
      </c>
    </row>
    <row r="481" spans="1:72" x14ac:dyDescent="0.15">
      <c r="A481" t="s">
        <v>72</v>
      </c>
      <c r="B481" t="s">
        <v>559</v>
      </c>
      <c r="C481" t="s">
        <v>74</v>
      </c>
      <c r="D481" t="s">
        <v>74</v>
      </c>
      <c r="E481" t="s">
        <v>74</v>
      </c>
      <c r="F481" t="s">
        <v>559</v>
      </c>
      <c r="G481" t="s">
        <v>74</v>
      </c>
      <c r="H481" t="s">
        <v>74</v>
      </c>
      <c r="I481" t="s">
        <v>6898</v>
      </c>
      <c r="J481" t="s">
        <v>539</v>
      </c>
      <c r="K481" t="s">
        <v>74</v>
      </c>
      <c r="L481" t="s">
        <v>74</v>
      </c>
      <c r="M481" t="s">
        <v>77</v>
      </c>
      <c r="N481" t="s">
        <v>153</v>
      </c>
      <c r="O481" t="s">
        <v>74</v>
      </c>
      <c r="P481" t="s">
        <v>74</v>
      </c>
      <c r="Q481" t="s">
        <v>74</v>
      </c>
      <c r="R481" t="s">
        <v>74</v>
      </c>
      <c r="S481" t="s">
        <v>74</v>
      </c>
      <c r="T481" t="s">
        <v>6899</v>
      </c>
      <c r="U481" t="s">
        <v>6900</v>
      </c>
      <c r="V481" t="s">
        <v>6901</v>
      </c>
      <c r="W481" t="s">
        <v>6902</v>
      </c>
      <c r="X481" t="s">
        <v>563</v>
      </c>
      <c r="Y481" t="s">
        <v>6903</v>
      </c>
      <c r="Z481" t="s">
        <v>6904</v>
      </c>
      <c r="AA481" t="s">
        <v>6905</v>
      </c>
      <c r="AB481" t="s">
        <v>6906</v>
      </c>
      <c r="AC481" t="s">
        <v>74</v>
      </c>
      <c r="AD481" t="s">
        <v>74</v>
      </c>
      <c r="AE481" t="s">
        <v>74</v>
      </c>
      <c r="AF481" t="s">
        <v>74</v>
      </c>
      <c r="AG481">
        <v>50</v>
      </c>
      <c r="AH481">
        <v>59</v>
      </c>
      <c r="AI481">
        <v>63</v>
      </c>
      <c r="AJ481">
        <v>0</v>
      </c>
      <c r="AK481">
        <v>9</v>
      </c>
      <c r="AL481" t="s">
        <v>90</v>
      </c>
      <c r="AM481" t="s">
        <v>91</v>
      </c>
      <c r="AN481" t="s">
        <v>92</v>
      </c>
      <c r="AO481" t="s">
        <v>549</v>
      </c>
      <c r="AP481" t="s">
        <v>550</v>
      </c>
      <c r="AQ481" t="s">
        <v>74</v>
      </c>
      <c r="AR481" t="s">
        <v>551</v>
      </c>
      <c r="AS481" t="s">
        <v>552</v>
      </c>
      <c r="AT481" t="s">
        <v>6907</v>
      </c>
      <c r="AU481">
        <v>2002</v>
      </c>
      <c r="AV481">
        <v>194</v>
      </c>
      <c r="AW481" t="s">
        <v>436</v>
      </c>
      <c r="AX481" t="s">
        <v>74</v>
      </c>
      <c r="AY481" t="s">
        <v>74</v>
      </c>
      <c r="AZ481" t="s">
        <v>74</v>
      </c>
      <c r="BA481" t="s">
        <v>74</v>
      </c>
      <c r="BB481">
        <v>311</v>
      </c>
      <c r="BC481">
        <v>326</v>
      </c>
      <c r="BD481" t="s">
        <v>74</v>
      </c>
      <c r="BE481" t="s">
        <v>6908</v>
      </c>
      <c r="BF481" t="str">
        <f>HYPERLINK("http://dx.doi.org/10.1016/S0012-821X(01)00567-2","http://dx.doi.org/10.1016/S0012-821X(01)00567-2")</f>
        <v>http://dx.doi.org/10.1016/S0012-821X(01)00567-2</v>
      </c>
      <c r="BG481" t="s">
        <v>74</v>
      </c>
      <c r="BH481" t="s">
        <v>74</v>
      </c>
      <c r="BI481">
        <v>16</v>
      </c>
      <c r="BJ481" t="s">
        <v>556</v>
      </c>
      <c r="BK481" t="s">
        <v>170</v>
      </c>
      <c r="BL481" t="s">
        <v>556</v>
      </c>
      <c r="BM481" t="s">
        <v>6909</v>
      </c>
      <c r="BN481" t="s">
        <v>74</v>
      </c>
      <c r="BO481" t="s">
        <v>74</v>
      </c>
      <c r="BP481" t="s">
        <v>74</v>
      </c>
      <c r="BQ481" t="s">
        <v>74</v>
      </c>
      <c r="BR481" t="s">
        <v>107</v>
      </c>
      <c r="BS481" t="s">
        <v>6910</v>
      </c>
      <c r="BT481" t="str">
        <f>HYPERLINK("https%3A%2F%2Fwww.webofscience.com%2Fwos%2Fwoscc%2Ffull-record%2FWOS:000173610300003","View Full Record in Web of Science")</f>
        <v>View Full Record in Web of Science</v>
      </c>
    </row>
    <row r="482" spans="1:72" x14ac:dyDescent="0.15">
      <c r="A482" t="s">
        <v>72</v>
      </c>
      <c r="B482" t="s">
        <v>6911</v>
      </c>
      <c r="C482" t="s">
        <v>74</v>
      </c>
      <c r="D482" t="s">
        <v>74</v>
      </c>
      <c r="E482" t="s">
        <v>74</v>
      </c>
      <c r="F482" t="s">
        <v>6911</v>
      </c>
      <c r="G482" t="s">
        <v>74</v>
      </c>
      <c r="H482" t="s">
        <v>74</v>
      </c>
      <c r="I482" t="s">
        <v>6912</v>
      </c>
      <c r="J482" t="s">
        <v>4774</v>
      </c>
      <c r="K482" t="s">
        <v>74</v>
      </c>
      <c r="L482" t="s">
        <v>74</v>
      </c>
      <c r="M482" t="s">
        <v>77</v>
      </c>
      <c r="N482" t="s">
        <v>153</v>
      </c>
      <c r="O482" t="s">
        <v>74</v>
      </c>
      <c r="P482" t="s">
        <v>74</v>
      </c>
      <c r="Q482" t="s">
        <v>74</v>
      </c>
      <c r="R482" t="s">
        <v>74</v>
      </c>
      <c r="S482" t="s">
        <v>74</v>
      </c>
      <c r="T482" t="s">
        <v>74</v>
      </c>
      <c r="U482" t="s">
        <v>6913</v>
      </c>
      <c r="V482" t="s">
        <v>6914</v>
      </c>
      <c r="W482" t="s">
        <v>6915</v>
      </c>
      <c r="X482" t="s">
        <v>6916</v>
      </c>
      <c r="Y482" t="s">
        <v>6917</v>
      </c>
      <c r="Z482" t="s">
        <v>6918</v>
      </c>
      <c r="AA482" t="s">
        <v>6919</v>
      </c>
      <c r="AB482" t="s">
        <v>6920</v>
      </c>
      <c r="AC482" t="s">
        <v>74</v>
      </c>
      <c r="AD482" t="s">
        <v>74</v>
      </c>
      <c r="AE482" t="s">
        <v>74</v>
      </c>
      <c r="AF482" t="s">
        <v>74</v>
      </c>
      <c r="AG482">
        <v>36</v>
      </c>
      <c r="AH482">
        <v>114</v>
      </c>
      <c r="AI482">
        <v>117</v>
      </c>
      <c r="AJ482">
        <v>1</v>
      </c>
      <c r="AK482">
        <v>35</v>
      </c>
      <c r="AL482" t="s">
        <v>581</v>
      </c>
      <c r="AM482" t="s">
        <v>162</v>
      </c>
      <c r="AN482" t="s">
        <v>582</v>
      </c>
      <c r="AO482" t="s">
        <v>4782</v>
      </c>
      <c r="AP482" t="s">
        <v>6921</v>
      </c>
      <c r="AQ482" t="s">
        <v>74</v>
      </c>
      <c r="AR482" t="s">
        <v>4783</v>
      </c>
      <c r="AS482" t="s">
        <v>4784</v>
      </c>
      <c r="AT482" t="s">
        <v>6907</v>
      </c>
      <c r="AU482">
        <v>2002</v>
      </c>
      <c r="AV482">
        <v>36</v>
      </c>
      <c r="AW482">
        <v>2</v>
      </c>
      <c r="AX482" t="s">
        <v>74</v>
      </c>
      <c r="AY482" t="s">
        <v>74</v>
      </c>
      <c r="AZ482" t="s">
        <v>74</v>
      </c>
      <c r="BA482" t="s">
        <v>74</v>
      </c>
      <c r="BB482">
        <v>138</v>
      </c>
      <c r="BC482">
        <v>145</v>
      </c>
      <c r="BD482" t="s">
        <v>74</v>
      </c>
      <c r="BE482" t="s">
        <v>6922</v>
      </c>
      <c r="BF482" t="str">
        <f>HYPERLINK("http://dx.doi.org/10.1021/es010211j","http://dx.doi.org/10.1021/es010211j")</f>
        <v>http://dx.doi.org/10.1021/es010211j</v>
      </c>
      <c r="BG482" t="s">
        <v>74</v>
      </c>
      <c r="BH482" t="s">
        <v>74</v>
      </c>
      <c r="BI482">
        <v>8</v>
      </c>
      <c r="BJ482" t="s">
        <v>4786</v>
      </c>
      <c r="BK482" t="s">
        <v>170</v>
      </c>
      <c r="BL482" t="s">
        <v>4787</v>
      </c>
      <c r="BM482" t="s">
        <v>6923</v>
      </c>
      <c r="BN482">
        <v>11827046</v>
      </c>
      <c r="BO482" t="s">
        <v>665</v>
      </c>
      <c r="BP482" t="s">
        <v>74</v>
      </c>
      <c r="BQ482" t="s">
        <v>74</v>
      </c>
      <c r="BR482" t="s">
        <v>107</v>
      </c>
      <c r="BS482" t="s">
        <v>6924</v>
      </c>
      <c r="BT482" t="str">
        <f>HYPERLINK("https%3A%2F%2Fwww.webofscience.com%2Fwos%2Fwoscc%2Ffull-record%2FWOS:000173308400004","View Full Record in Web of Science")</f>
        <v>View Full Record in Web of Science</v>
      </c>
    </row>
    <row r="483" spans="1:72" x14ac:dyDescent="0.15">
      <c r="A483" t="s">
        <v>72</v>
      </c>
      <c r="B483" t="s">
        <v>6925</v>
      </c>
      <c r="C483" t="s">
        <v>74</v>
      </c>
      <c r="D483" t="s">
        <v>74</v>
      </c>
      <c r="E483" t="s">
        <v>74</v>
      </c>
      <c r="F483" t="s">
        <v>6925</v>
      </c>
      <c r="G483" t="s">
        <v>74</v>
      </c>
      <c r="H483" t="s">
        <v>74</v>
      </c>
      <c r="I483" t="s">
        <v>6926</v>
      </c>
      <c r="J483" t="s">
        <v>594</v>
      </c>
      <c r="K483" t="s">
        <v>74</v>
      </c>
      <c r="L483" t="s">
        <v>74</v>
      </c>
      <c r="M483" t="s">
        <v>77</v>
      </c>
      <c r="N483" t="s">
        <v>153</v>
      </c>
      <c r="O483" t="s">
        <v>74</v>
      </c>
      <c r="P483" t="s">
        <v>74</v>
      </c>
      <c r="Q483" t="s">
        <v>74</v>
      </c>
      <c r="R483" t="s">
        <v>74</v>
      </c>
      <c r="S483" t="s">
        <v>74</v>
      </c>
      <c r="T483" t="s">
        <v>74</v>
      </c>
      <c r="U483" t="s">
        <v>6927</v>
      </c>
      <c r="V483" t="s">
        <v>6928</v>
      </c>
      <c r="W483" t="s">
        <v>6929</v>
      </c>
      <c r="X483" t="s">
        <v>6930</v>
      </c>
      <c r="Y483" t="s">
        <v>6931</v>
      </c>
      <c r="Z483" t="s">
        <v>6932</v>
      </c>
      <c r="AA483" t="s">
        <v>6933</v>
      </c>
      <c r="AB483" t="s">
        <v>6934</v>
      </c>
      <c r="AC483" t="s">
        <v>74</v>
      </c>
      <c r="AD483" t="s">
        <v>74</v>
      </c>
      <c r="AE483" t="s">
        <v>74</v>
      </c>
      <c r="AF483" t="s">
        <v>74</v>
      </c>
      <c r="AG483">
        <v>33</v>
      </c>
      <c r="AH483">
        <v>13</v>
      </c>
      <c r="AI483">
        <v>13</v>
      </c>
      <c r="AJ483">
        <v>0</v>
      </c>
      <c r="AK483">
        <v>1</v>
      </c>
      <c r="AL483" t="s">
        <v>161</v>
      </c>
      <c r="AM483" t="s">
        <v>162</v>
      </c>
      <c r="AN483" t="s">
        <v>163</v>
      </c>
      <c r="AO483" t="s">
        <v>602</v>
      </c>
      <c r="AP483" t="s">
        <v>603</v>
      </c>
      <c r="AQ483" t="s">
        <v>74</v>
      </c>
      <c r="AR483" t="s">
        <v>604</v>
      </c>
      <c r="AS483" t="s">
        <v>605</v>
      </c>
      <c r="AT483" t="s">
        <v>6907</v>
      </c>
      <c r="AU483">
        <v>2002</v>
      </c>
      <c r="AV483">
        <v>29</v>
      </c>
      <c r="AW483">
        <v>2</v>
      </c>
      <c r="AX483" t="s">
        <v>74</v>
      </c>
      <c r="AY483" t="s">
        <v>74</v>
      </c>
      <c r="AZ483" t="s">
        <v>74</v>
      </c>
      <c r="BA483" t="s">
        <v>74</v>
      </c>
      <c r="BB483" t="s">
        <v>74</v>
      </c>
      <c r="BC483" t="s">
        <v>74</v>
      </c>
      <c r="BD483">
        <v>1024</v>
      </c>
      <c r="BE483" t="s">
        <v>6935</v>
      </c>
      <c r="BF483" t="str">
        <f>HYPERLINK("http://dx.doi.org/10.1029/2001GL013781","http://dx.doi.org/10.1029/2001GL013781")</f>
        <v>http://dx.doi.org/10.1029/2001GL013781</v>
      </c>
      <c r="BG483" t="s">
        <v>74</v>
      </c>
      <c r="BH483" t="s">
        <v>74</v>
      </c>
      <c r="BI483">
        <v>4</v>
      </c>
      <c r="BJ483" t="s">
        <v>608</v>
      </c>
      <c r="BK483" t="s">
        <v>170</v>
      </c>
      <c r="BL483" t="s">
        <v>439</v>
      </c>
      <c r="BM483" t="s">
        <v>6936</v>
      </c>
      <c r="BN483" t="s">
        <v>74</v>
      </c>
      <c r="BO483" t="s">
        <v>173</v>
      </c>
      <c r="BP483" t="s">
        <v>74</v>
      </c>
      <c r="BQ483" t="s">
        <v>74</v>
      </c>
      <c r="BR483" t="s">
        <v>107</v>
      </c>
      <c r="BS483" t="s">
        <v>6937</v>
      </c>
      <c r="BT483" t="str">
        <f>HYPERLINK("https%3A%2F%2Fwww.webofscience.com%2Fwos%2Fwoscc%2Ffull-record%2FWOS:000178885500007","View Full Record in Web of Science")</f>
        <v>View Full Record in Web of Science</v>
      </c>
    </row>
    <row r="484" spans="1:72" x14ac:dyDescent="0.15">
      <c r="A484" t="s">
        <v>72</v>
      </c>
      <c r="B484" t="s">
        <v>6938</v>
      </c>
      <c r="C484" t="s">
        <v>74</v>
      </c>
      <c r="D484" t="s">
        <v>74</v>
      </c>
      <c r="E484" t="s">
        <v>74</v>
      </c>
      <c r="F484" t="s">
        <v>6938</v>
      </c>
      <c r="G484" t="s">
        <v>74</v>
      </c>
      <c r="H484" t="s">
        <v>74</v>
      </c>
      <c r="I484" t="s">
        <v>6939</v>
      </c>
      <c r="J484" t="s">
        <v>1544</v>
      </c>
      <c r="K484" t="s">
        <v>74</v>
      </c>
      <c r="L484" t="s">
        <v>74</v>
      </c>
      <c r="M484" t="s">
        <v>77</v>
      </c>
      <c r="N484" t="s">
        <v>153</v>
      </c>
      <c r="O484" t="s">
        <v>74</v>
      </c>
      <c r="P484" t="s">
        <v>74</v>
      </c>
      <c r="Q484" t="s">
        <v>74</v>
      </c>
      <c r="R484" t="s">
        <v>74</v>
      </c>
      <c r="S484" t="s">
        <v>74</v>
      </c>
      <c r="T484" t="s">
        <v>6940</v>
      </c>
      <c r="U484" t="s">
        <v>6941</v>
      </c>
      <c r="V484" t="s">
        <v>6942</v>
      </c>
      <c r="W484" t="s">
        <v>6943</v>
      </c>
      <c r="X484" t="s">
        <v>6944</v>
      </c>
      <c r="Y484" t="s">
        <v>6945</v>
      </c>
      <c r="Z484" t="s">
        <v>6946</v>
      </c>
      <c r="AA484" t="s">
        <v>74</v>
      </c>
      <c r="AB484" t="s">
        <v>74</v>
      </c>
      <c r="AC484" t="s">
        <v>74</v>
      </c>
      <c r="AD484" t="s">
        <v>74</v>
      </c>
      <c r="AE484" t="s">
        <v>74</v>
      </c>
      <c r="AF484" t="s">
        <v>74</v>
      </c>
      <c r="AG484">
        <v>52</v>
      </c>
      <c r="AH484">
        <v>62</v>
      </c>
      <c r="AI484">
        <v>68</v>
      </c>
      <c r="AJ484">
        <v>3</v>
      </c>
      <c r="AK484">
        <v>21</v>
      </c>
      <c r="AL484" t="s">
        <v>161</v>
      </c>
      <c r="AM484" t="s">
        <v>162</v>
      </c>
      <c r="AN484" t="s">
        <v>163</v>
      </c>
      <c r="AO484" t="s">
        <v>1554</v>
      </c>
      <c r="AP484" t="s">
        <v>1555</v>
      </c>
      <c r="AQ484" t="s">
        <v>74</v>
      </c>
      <c r="AR484" t="s">
        <v>1556</v>
      </c>
      <c r="AS484" t="s">
        <v>1557</v>
      </c>
      <c r="AT484" t="s">
        <v>6947</v>
      </c>
      <c r="AU484">
        <v>2002</v>
      </c>
      <c r="AV484">
        <v>107</v>
      </c>
      <c r="AW484" t="s">
        <v>6948</v>
      </c>
      <c r="AX484" t="s">
        <v>74</v>
      </c>
      <c r="AY484" t="s">
        <v>74</v>
      </c>
      <c r="AZ484" t="s">
        <v>74</v>
      </c>
      <c r="BA484" t="s">
        <v>74</v>
      </c>
      <c r="BB484" t="s">
        <v>74</v>
      </c>
      <c r="BC484" t="s">
        <v>74</v>
      </c>
      <c r="BD484">
        <v>2002</v>
      </c>
      <c r="BE484" t="s">
        <v>6949</v>
      </c>
      <c r="BF484" t="str">
        <f>HYPERLINK("http://dx.doi.org/10.1029/2000JB000058","http://dx.doi.org/10.1029/2000JB000058")</f>
        <v>http://dx.doi.org/10.1029/2000JB000058</v>
      </c>
      <c r="BG484" t="s">
        <v>74</v>
      </c>
      <c r="BH484" t="s">
        <v>74</v>
      </c>
      <c r="BI484">
        <v>13</v>
      </c>
      <c r="BJ484" t="s">
        <v>556</v>
      </c>
      <c r="BK484" t="s">
        <v>170</v>
      </c>
      <c r="BL484" t="s">
        <v>556</v>
      </c>
      <c r="BM484" t="s">
        <v>6950</v>
      </c>
      <c r="BN484" t="s">
        <v>74</v>
      </c>
      <c r="BO484" t="s">
        <v>173</v>
      </c>
      <c r="BP484" t="s">
        <v>74</v>
      </c>
      <c r="BQ484" t="s">
        <v>74</v>
      </c>
      <c r="BR484" t="s">
        <v>107</v>
      </c>
      <c r="BS484" t="s">
        <v>6951</v>
      </c>
      <c r="BT484" t="str">
        <f>HYPERLINK("https%3A%2F%2Fwww.webofscience.com%2Fwos%2Fwoscc%2Ffull-record%2FWOS:000178909600026","View Full Record in Web of Science")</f>
        <v>View Full Record in Web of Science</v>
      </c>
    </row>
    <row r="485" spans="1:72" x14ac:dyDescent="0.15">
      <c r="A485" t="s">
        <v>72</v>
      </c>
      <c r="B485" t="s">
        <v>6952</v>
      </c>
      <c r="C485" t="s">
        <v>74</v>
      </c>
      <c r="D485" t="s">
        <v>74</v>
      </c>
      <c r="E485" t="s">
        <v>74</v>
      </c>
      <c r="F485" t="s">
        <v>6952</v>
      </c>
      <c r="G485" t="s">
        <v>74</v>
      </c>
      <c r="H485" t="s">
        <v>74</v>
      </c>
      <c r="I485" t="s">
        <v>6953</v>
      </c>
      <c r="J485" t="s">
        <v>3208</v>
      </c>
      <c r="K485" t="s">
        <v>74</v>
      </c>
      <c r="L485" t="s">
        <v>74</v>
      </c>
      <c r="M485" t="s">
        <v>77</v>
      </c>
      <c r="N485" t="s">
        <v>153</v>
      </c>
      <c r="O485" t="s">
        <v>74</v>
      </c>
      <c r="P485" t="s">
        <v>74</v>
      </c>
      <c r="Q485" t="s">
        <v>74</v>
      </c>
      <c r="R485" t="s">
        <v>74</v>
      </c>
      <c r="S485" t="s">
        <v>74</v>
      </c>
      <c r="T485" t="s">
        <v>74</v>
      </c>
      <c r="U485" t="s">
        <v>6954</v>
      </c>
      <c r="V485" t="s">
        <v>6955</v>
      </c>
      <c r="W485" t="s">
        <v>6956</v>
      </c>
      <c r="X485" t="s">
        <v>6957</v>
      </c>
      <c r="Y485" t="s">
        <v>6958</v>
      </c>
      <c r="Z485" t="s">
        <v>74</v>
      </c>
      <c r="AA485" t="s">
        <v>74</v>
      </c>
      <c r="AB485" t="s">
        <v>74</v>
      </c>
      <c r="AC485" t="s">
        <v>74</v>
      </c>
      <c r="AD485" t="s">
        <v>74</v>
      </c>
      <c r="AE485" t="s">
        <v>74</v>
      </c>
      <c r="AF485" t="s">
        <v>74</v>
      </c>
      <c r="AG485">
        <v>30</v>
      </c>
      <c r="AH485">
        <v>348</v>
      </c>
      <c r="AI485">
        <v>397</v>
      </c>
      <c r="AJ485">
        <v>5</v>
      </c>
      <c r="AK485">
        <v>102</v>
      </c>
      <c r="AL485" t="s">
        <v>3214</v>
      </c>
      <c r="AM485" t="s">
        <v>1127</v>
      </c>
      <c r="AN485" t="s">
        <v>3215</v>
      </c>
      <c r="AO485" t="s">
        <v>3216</v>
      </c>
      <c r="AP485" t="s">
        <v>74</v>
      </c>
      <c r="AQ485" t="s">
        <v>74</v>
      </c>
      <c r="AR485" t="s">
        <v>3208</v>
      </c>
      <c r="AS485" t="s">
        <v>3218</v>
      </c>
      <c r="AT485" t="s">
        <v>6947</v>
      </c>
      <c r="AU485">
        <v>2002</v>
      </c>
      <c r="AV485">
        <v>415</v>
      </c>
      <c r="AW485">
        <v>6868</v>
      </c>
      <c r="AX485" t="s">
        <v>74</v>
      </c>
      <c r="AY485" t="s">
        <v>74</v>
      </c>
      <c r="AZ485" t="s">
        <v>74</v>
      </c>
      <c r="BA485" t="s">
        <v>74</v>
      </c>
      <c r="BB485">
        <v>159</v>
      </c>
      <c r="BC485">
        <v>162</v>
      </c>
      <c r="BD485" t="s">
        <v>74</v>
      </c>
      <c r="BE485" t="s">
        <v>6959</v>
      </c>
      <c r="BF485" t="str">
        <f>HYPERLINK("http://dx.doi.org/10.1038/415159a","http://dx.doi.org/10.1038/415159a")</f>
        <v>http://dx.doi.org/10.1038/415159a</v>
      </c>
      <c r="BG485" t="s">
        <v>74</v>
      </c>
      <c r="BH485" t="s">
        <v>74</v>
      </c>
      <c r="BI485">
        <v>4</v>
      </c>
      <c r="BJ485" t="s">
        <v>662</v>
      </c>
      <c r="BK485" t="s">
        <v>170</v>
      </c>
      <c r="BL485" t="s">
        <v>663</v>
      </c>
      <c r="BM485" t="s">
        <v>6960</v>
      </c>
      <c r="BN485">
        <v>11805831</v>
      </c>
      <c r="BO485" t="s">
        <v>74</v>
      </c>
      <c r="BP485" t="s">
        <v>74</v>
      </c>
      <c r="BQ485" t="s">
        <v>74</v>
      </c>
      <c r="BR485" t="s">
        <v>107</v>
      </c>
      <c r="BS485" t="s">
        <v>6961</v>
      </c>
      <c r="BT485" t="str">
        <f>HYPERLINK("https%3A%2F%2Fwww.webofscience.com%2Fwos%2Fwoscc%2Ffull-record%2FWOS:000173159300038","View Full Record in Web of Science")</f>
        <v>View Full Record in Web of Science</v>
      </c>
    </row>
    <row r="486" spans="1:72" x14ac:dyDescent="0.15">
      <c r="A486" t="s">
        <v>72</v>
      </c>
      <c r="B486" t="s">
        <v>6962</v>
      </c>
      <c r="C486" t="s">
        <v>74</v>
      </c>
      <c r="D486" t="s">
        <v>74</v>
      </c>
      <c r="E486" t="s">
        <v>74</v>
      </c>
      <c r="F486" t="s">
        <v>6962</v>
      </c>
      <c r="G486" t="s">
        <v>74</v>
      </c>
      <c r="H486" t="s">
        <v>74</v>
      </c>
      <c r="I486" t="s">
        <v>6963</v>
      </c>
      <c r="J486" t="s">
        <v>76</v>
      </c>
      <c r="K486" t="s">
        <v>74</v>
      </c>
      <c r="L486" t="s">
        <v>74</v>
      </c>
      <c r="M486" t="s">
        <v>77</v>
      </c>
      <c r="N486" t="s">
        <v>153</v>
      </c>
      <c r="O486" t="s">
        <v>74</v>
      </c>
      <c r="P486" t="s">
        <v>74</v>
      </c>
      <c r="Q486" t="s">
        <v>74</v>
      </c>
      <c r="R486" t="s">
        <v>74</v>
      </c>
      <c r="S486" t="s">
        <v>74</v>
      </c>
      <c r="T486" t="s">
        <v>6964</v>
      </c>
      <c r="U486" t="s">
        <v>6965</v>
      </c>
      <c r="V486" t="s">
        <v>6966</v>
      </c>
      <c r="W486" t="s">
        <v>6967</v>
      </c>
      <c r="X486" t="s">
        <v>6968</v>
      </c>
      <c r="Y486" t="s">
        <v>6969</v>
      </c>
      <c r="Z486" t="s">
        <v>74</v>
      </c>
      <c r="AA486" t="s">
        <v>6970</v>
      </c>
      <c r="AB486" t="s">
        <v>74</v>
      </c>
      <c r="AC486" t="s">
        <v>74</v>
      </c>
      <c r="AD486" t="s">
        <v>74</v>
      </c>
      <c r="AE486" t="s">
        <v>74</v>
      </c>
      <c r="AF486" t="s">
        <v>74</v>
      </c>
      <c r="AG486">
        <v>31</v>
      </c>
      <c r="AH486">
        <v>395</v>
      </c>
      <c r="AI486">
        <v>436</v>
      </c>
      <c r="AJ486">
        <v>3</v>
      </c>
      <c r="AK486">
        <v>37</v>
      </c>
      <c r="AL486" t="s">
        <v>132</v>
      </c>
      <c r="AM486" t="s">
        <v>91</v>
      </c>
      <c r="AN486" t="s">
        <v>133</v>
      </c>
      <c r="AO486" t="s">
        <v>93</v>
      </c>
      <c r="AP486" t="s">
        <v>74</v>
      </c>
      <c r="AQ486" t="s">
        <v>74</v>
      </c>
      <c r="AR486" t="s">
        <v>95</v>
      </c>
      <c r="AS486" t="s">
        <v>96</v>
      </c>
      <c r="AT486" t="s">
        <v>6971</v>
      </c>
      <c r="AU486">
        <v>2002</v>
      </c>
      <c r="AV486">
        <v>177</v>
      </c>
      <c r="AW486" t="s">
        <v>98</v>
      </c>
      <c r="AX486" t="s">
        <v>74</v>
      </c>
      <c r="AY486" t="s">
        <v>74</v>
      </c>
      <c r="AZ486" t="s">
        <v>99</v>
      </c>
      <c r="BA486" t="s">
        <v>74</v>
      </c>
      <c r="BB486">
        <v>19</v>
      </c>
      <c r="BC486">
        <v>27</v>
      </c>
      <c r="BD486" t="s">
        <v>74</v>
      </c>
      <c r="BE486" t="s">
        <v>6972</v>
      </c>
      <c r="BF486" t="str">
        <f>HYPERLINK("http://dx.doi.org/10.1016/S0031-0182(01)00349-2","http://dx.doi.org/10.1016/S0031-0182(01)00349-2")</f>
        <v>http://dx.doi.org/10.1016/S0031-0182(01)00349-2</v>
      </c>
      <c r="BG486" t="s">
        <v>74</v>
      </c>
      <c r="BH486" t="s">
        <v>74</v>
      </c>
      <c r="BI486">
        <v>9</v>
      </c>
      <c r="BJ486" t="s">
        <v>102</v>
      </c>
      <c r="BK486" t="s">
        <v>170</v>
      </c>
      <c r="BL486" t="s">
        <v>104</v>
      </c>
      <c r="BM486" t="s">
        <v>6973</v>
      </c>
      <c r="BN486" t="s">
        <v>74</v>
      </c>
      <c r="BO486" t="s">
        <v>74</v>
      </c>
      <c r="BP486" t="s">
        <v>74</v>
      </c>
      <c r="BQ486" t="s">
        <v>74</v>
      </c>
      <c r="BR486" t="s">
        <v>107</v>
      </c>
      <c r="BS486" t="s">
        <v>6974</v>
      </c>
      <c r="BT486" t="str">
        <f>HYPERLINK("https%3A%2F%2Fwww.webofscience.com%2Fwos%2Fwoscc%2Ffull-record%2FWOS:000173947200003","View Full Record in Web of Science")</f>
        <v>View Full Record in Web of Science</v>
      </c>
    </row>
    <row r="487" spans="1:72" x14ac:dyDescent="0.15">
      <c r="A487" t="s">
        <v>72</v>
      </c>
      <c r="B487" t="s">
        <v>6975</v>
      </c>
      <c r="C487" t="s">
        <v>74</v>
      </c>
      <c r="D487" t="s">
        <v>74</v>
      </c>
      <c r="E487" t="s">
        <v>74</v>
      </c>
      <c r="F487" t="s">
        <v>6975</v>
      </c>
      <c r="G487" t="s">
        <v>74</v>
      </c>
      <c r="H487" t="s">
        <v>74</v>
      </c>
      <c r="I487" t="s">
        <v>6976</v>
      </c>
      <c r="J487" t="s">
        <v>76</v>
      </c>
      <c r="K487" t="s">
        <v>74</v>
      </c>
      <c r="L487" t="s">
        <v>74</v>
      </c>
      <c r="M487" t="s">
        <v>77</v>
      </c>
      <c r="N487" t="s">
        <v>153</v>
      </c>
      <c r="O487" t="s">
        <v>74</v>
      </c>
      <c r="P487" t="s">
        <v>74</v>
      </c>
      <c r="Q487" t="s">
        <v>74</v>
      </c>
      <c r="R487" t="s">
        <v>74</v>
      </c>
      <c r="S487" t="s">
        <v>74</v>
      </c>
      <c r="T487" t="s">
        <v>6977</v>
      </c>
      <c r="U487" t="s">
        <v>6978</v>
      </c>
      <c r="V487" t="s">
        <v>6979</v>
      </c>
      <c r="W487" t="s">
        <v>6980</v>
      </c>
      <c r="X487" t="s">
        <v>6981</v>
      </c>
      <c r="Y487" t="s">
        <v>6982</v>
      </c>
      <c r="Z487" t="s">
        <v>6983</v>
      </c>
      <c r="AA487" t="s">
        <v>6984</v>
      </c>
      <c r="AB487" t="s">
        <v>6985</v>
      </c>
      <c r="AC487" t="s">
        <v>74</v>
      </c>
      <c r="AD487" t="s">
        <v>74</v>
      </c>
      <c r="AE487" t="s">
        <v>74</v>
      </c>
      <c r="AF487" t="s">
        <v>74</v>
      </c>
      <c r="AG487">
        <v>68</v>
      </c>
      <c r="AH487">
        <v>81</v>
      </c>
      <c r="AI487">
        <v>95</v>
      </c>
      <c r="AJ487">
        <v>2</v>
      </c>
      <c r="AK487">
        <v>22</v>
      </c>
      <c r="AL487" t="s">
        <v>90</v>
      </c>
      <c r="AM487" t="s">
        <v>91</v>
      </c>
      <c r="AN487" t="s">
        <v>92</v>
      </c>
      <c r="AO487" t="s">
        <v>93</v>
      </c>
      <c r="AP487" t="s">
        <v>94</v>
      </c>
      <c r="AQ487" t="s">
        <v>74</v>
      </c>
      <c r="AR487" t="s">
        <v>95</v>
      </c>
      <c r="AS487" t="s">
        <v>96</v>
      </c>
      <c r="AT487" t="s">
        <v>6971</v>
      </c>
      <c r="AU487">
        <v>2002</v>
      </c>
      <c r="AV487">
        <v>177</v>
      </c>
      <c r="AW487" t="s">
        <v>98</v>
      </c>
      <c r="AX487" t="s">
        <v>74</v>
      </c>
      <c r="AY487" t="s">
        <v>74</v>
      </c>
      <c r="AZ487" t="s">
        <v>99</v>
      </c>
      <c r="BA487" t="s">
        <v>74</v>
      </c>
      <c r="BB487">
        <v>151</v>
      </c>
      <c r="BC487">
        <v>168</v>
      </c>
      <c r="BD487" t="s">
        <v>6986</v>
      </c>
      <c r="BE487" t="s">
        <v>6987</v>
      </c>
      <c r="BF487" t="str">
        <f>HYPERLINK("http://dx.doi.org/10.1016/S0031-0182(01)00357-1","http://dx.doi.org/10.1016/S0031-0182(01)00357-1")</f>
        <v>http://dx.doi.org/10.1016/S0031-0182(01)00357-1</v>
      </c>
      <c r="BG487" t="s">
        <v>74</v>
      </c>
      <c r="BH487" t="s">
        <v>74</v>
      </c>
      <c r="BI487">
        <v>18</v>
      </c>
      <c r="BJ487" t="s">
        <v>102</v>
      </c>
      <c r="BK487" t="s">
        <v>170</v>
      </c>
      <c r="BL487" t="s">
        <v>104</v>
      </c>
      <c r="BM487" t="s">
        <v>6973</v>
      </c>
      <c r="BN487" t="s">
        <v>74</v>
      </c>
      <c r="BO487" t="s">
        <v>74</v>
      </c>
      <c r="BP487" t="s">
        <v>74</v>
      </c>
      <c r="BQ487" t="s">
        <v>74</v>
      </c>
      <c r="BR487" t="s">
        <v>107</v>
      </c>
      <c r="BS487" t="s">
        <v>6988</v>
      </c>
      <c r="BT487" t="str">
        <f>HYPERLINK("https%3A%2F%2Fwww.webofscience.com%2Fwos%2Fwoscc%2Ffull-record%2FWOS:000173947200011","View Full Record in Web of Science")</f>
        <v>View Full Record in Web of Science</v>
      </c>
    </row>
    <row r="488" spans="1:72" x14ac:dyDescent="0.15">
      <c r="A488" t="s">
        <v>6989</v>
      </c>
      <c r="B488" t="s">
        <v>6990</v>
      </c>
      <c r="C488" t="s">
        <v>74</v>
      </c>
      <c r="D488" t="s">
        <v>74</v>
      </c>
      <c r="E488" t="s">
        <v>6991</v>
      </c>
      <c r="F488" t="s">
        <v>6990</v>
      </c>
      <c r="G488" t="s">
        <v>74</v>
      </c>
      <c r="H488" t="s">
        <v>74</v>
      </c>
      <c r="I488" t="s">
        <v>6992</v>
      </c>
      <c r="J488" t="s">
        <v>6993</v>
      </c>
      <c r="K488" t="s">
        <v>74</v>
      </c>
      <c r="L488" t="s">
        <v>74</v>
      </c>
      <c r="M488" t="s">
        <v>77</v>
      </c>
      <c r="N488" t="s">
        <v>6994</v>
      </c>
      <c r="O488" t="s">
        <v>6995</v>
      </c>
      <c r="P488" t="s">
        <v>6996</v>
      </c>
      <c r="Q488" t="s">
        <v>6997</v>
      </c>
      <c r="R488" t="s">
        <v>74</v>
      </c>
      <c r="S488" t="s">
        <v>74</v>
      </c>
      <c r="T488" t="s">
        <v>74</v>
      </c>
      <c r="U488" t="s">
        <v>6998</v>
      </c>
      <c r="V488" t="s">
        <v>74</v>
      </c>
      <c r="W488" t="s">
        <v>6999</v>
      </c>
      <c r="X488" t="s">
        <v>1864</v>
      </c>
      <c r="Y488" t="s">
        <v>7000</v>
      </c>
      <c r="Z488" t="s">
        <v>74</v>
      </c>
      <c r="AA488" t="s">
        <v>74</v>
      </c>
      <c r="AB488" t="s">
        <v>74</v>
      </c>
      <c r="AC488" t="s">
        <v>74</v>
      </c>
      <c r="AD488" t="s">
        <v>74</v>
      </c>
      <c r="AE488" t="s">
        <v>74</v>
      </c>
      <c r="AF488" t="s">
        <v>74</v>
      </c>
      <c r="AG488">
        <v>14</v>
      </c>
      <c r="AH488">
        <v>0</v>
      </c>
      <c r="AI488">
        <v>0</v>
      </c>
      <c r="AJ488">
        <v>0</v>
      </c>
      <c r="AK488">
        <v>0</v>
      </c>
      <c r="AL488" t="s">
        <v>7001</v>
      </c>
      <c r="AM488" t="s">
        <v>1440</v>
      </c>
      <c r="AN488" t="s">
        <v>7002</v>
      </c>
      <c r="AO488" t="s">
        <v>74</v>
      </c>
      <c r="AP488" t="s">
        <v>74</v>
      </c>
      <c r="AQ488" t="s">
        <v>74</v>
      </c>
      <c r="AR488" t="s">
        <v>74</v>
      </c>
      <c r="AS488" t="s">
        <v>74</v>
      </c>
      <c r="AT488" t="s">
        <v>74</v>
      </c>
      <c r="AU488">
        <v>2002</v>
      </c>
      <c r="AV488" t="s">
        <v>74</v>
      </c>
      <c r="AW488" t="s">
        <v>74</v>
      </c>
      <c r="AX488" t="s">
        <v>74</v>
      </c>
      <c r="AY488" t="s">
        <v>74</v>
      </c>
      <c r="AZ488" t="s">
        <v>74</v>
      </c>
      <c r="BA488" t="s">
        <v>74</v>
      </c>
      <c r="BB488">
        <v>181</v>
      </c>
      <c r="BC488">
        <v>184</v>
      </c>
      <c r="BD488" t="s">
        <v>74</v>
      </c>
      <c r="BE488" t="s">
        <v>74</v>
      </c>
      <c r="BF488" t="s">
        <v>74</v>
      </c>
      <c r="BG488" t="s">
        <v>74</v>
      </c>
      <c r="BH488" t="s">
        <v>74</v>
      </c>
      <c r="BI488">
        <v>4</v>
      </c>
      <c r="BJ488" t="s">
        <v>7003</v>
      </c>
      <c r="BK488" t="s">
        <v>7004</v>
      </c>
      <c r="BL488" t="s">
        <v>7003</v>
      </c>
      <c r="BM488" t="s">
        <v>7005</v>
      </c>
      <c r="BN488" t="s">
        <v>74</v>
      </c>
      <c r="BO488" t="s">
        <v>74</v>
      </c>
      <c r="BP488" t="s">
        <v>74</v>
      </c>
      <c r="BQ488" t="s">
        <v>74</v>
      </c>
      <c r="BR488" t="s">
        <v>107</v>
      </c>
      <c r="BS488" t="s">
        <v>7006</v>
      </c>
      <c r="BT488" t="str">
        <f>HYPERLINK("https%3A%2F%2Fwww.webofscience.com%2Fwos%2Fwoscc%2Ffull-record%2FWOS:000185754900051","View Full Record in Web of Science")</f>
        <v>View Full Record in Web of Science</v>
      </c>
    </row>
    <row r="489" spans="1:72" x14ac:dyDescent="0.15">
      <c r="A489" t="s">
        <v>6989</v>
      </c>
      <c r="B489" t="s">
        <v>7007</v>
      </c>
      <c r="C489" t="s">
        <v>74</v>
      </c>
      <c r="D489" t="s">
        <v>74</v>
      </c>
      <c r="E489" t="s">
        <v>6991</v>
      </c>
      <c r="F489" t="s">
        <v>7007</v>
      </c>
      <c r="G489" t="s">
        <v>74</v>
      </c>
      <c r="H489" t="s">
        <v>74</v>
      </c>
      <c r="I489" t="s">
        <v>7008</v>
      </c>
      <c r="J489" t="s">
        <v>7009</v>
      </c>
      <c r="K489" t="s">
        <v>74</v>
      </c>
      <c r="L489" t="s">
        <v>74</v>
      </c>
      <c r="M489" t="s">
        <v>77</v>
      </c>
      <c r="N489" t="s">
        <v>6994</v>
      </c>
      <c r="O489" t="s">
        <v>7010</v>
      </c>
      <c r="P489" t="s">
        <v>7011</v>
      </c>
      <c r="Q489" t="s">
        <v>7012</v>
      </c>
      <c r="R489" t="s">
        <v>74</v>
      </c>
      <c r="S489" t="s">
        <v>74</v>
      </c>
      <c r="T489" t="s">
        <v>74</v>
      </c>
      <c r="U489" t="s">
        <v>7013</v>
      </c>
      <c r="V489" t="s">
        <v>74</v>
      </c>
      <c r="W489" t="s">
        <v>2466</v>
      </c>
      <c r="X489" t="s">
        <v>852</v>
      </c>
      <c r="Y489" t="s">
        <v>7014</v>
      </c>
      <c r="Z489" t="s">
        <v>74</v>
      </c>
      <c r="AA489" t="s">
        <v>74</v>
      </c>
      <c r="AB489" t="s">
        <v>74</v>
      </c>
      <c r="AC489" t="s">
        <v>74</v>
      </c>
      <c r="AD489" t="s">
        <v>74</v>
      </c>
      <c r="AE489" t="s">
        <v>74</v>
      </c>
      <c r="AF489" t="s">
        <v>74</v>
      </c>
      <c r="AG489">
        <v>7</v>
      </c>
      <c r="AH489">
        <v>0</v>
      </c>
      <c r="AI489">
        <v>0</v>
      </c>
      <c r="AJ489">
        <v>0</v>
      </c>
      <c r="AK489">
        <v>0</v>
      </c>
      <c r="AL489" t="s">
        <v>7001</v>
      </c>
      <c r="AM489" t="s">
        <v>1440</v>
      </c>
      <c r="AN489" t="s">
        <v>7002</v>
      </c>
      <c r="AO489" t="s">
        <v>74</v>
      </c>
      <c r="AP489" t="s">
        <v>74</v>
      </c>
      <c r="AQ489" t="s">
        <v>74</v>
      </c>
      <c r="AR489" t="s">
        <v>74</v>
      </c>
      <c r="AS489" t="s">
        <v>74</v>
      </c>
      <c r="AT489" t="s">
        <v>74</v>
      </c>
      <c r="AU489">
        <v>2002</v>
      </c>
      <c r="AV489" t="s">
        <v>74</v>
      </c>
      <c r="AW489" t="s">
        <v>74</v>
      </c>
      <c r="AX489" t="s">
        <v>74</v>
      </c>
      <c r="AY489" t="s">
        <v>74</v>
      </c>
      <c r="AZ489" t="s">
        <v>74</v>
      </c>
      <c r="BA489" t="s">
        <v>74</v>
      </c>
      <c r="BB489">
        <v>242</v>
      </c>
      <c r="BC489">
        <v>244</v>
      </c>
      <c r="BD489" t="s">
        <v>74</v>
      </c>
      <c r="BE489" t="s">
        <v>74</v>
      </c>
      <c r="BF489" t="s">
        <v>74</v>
      </c>
      <c r="BG489" t="s">
        <v>74</v>
      </c>
      <c r="BH489" t="s">
        <v>74</v>
      </c>
      <c r="BI489">
        <v>3</v>
      </c>
      <c r="BJ489" t="s">
        <v>403</v>
      </c>
      <c r="BK489" t="s">
        <v>7004</v>
      </c>
      <c r="BL489" t="s">
        <v>403</v>
      </c>
      <c r="BM489" t="s">
        <v>7015</v>
      </c>
      <c r="BN489" t="s">
        <v>74</v>
      </c>
      <c r="BO489" t="s">
        <v>74</v>
      </c>
      <c r="BP489" t="s">
        <v>74</v>
      </c>
      <c r="BQ489" t="s">
        <v>74</v>
      </c>
      <c r="BR489" t="s">
        <v>107</v>
      </c>
      <c r="BS489" t="s">
        <v>7016</v>
      </c>
      <c r="BT489" t="str">
        <f>HYPERLINK("https%3A%2F%2Fwww.webofscience.com%2Fwos%2Fwoscc%2Ffull-record%2FWOS:000179447900092","View Full Record in Web of Science")</f>
        <v>View Full Record in Web of Science</v>
      </c>
    </row>
    <row r="490" spans="1:72" x14ac:dyDescent="0.15">
      <c r="A490" t="s">
        <v>6989</v>
      </c>
      <c r="B490" t="s">
        <v>7017</v>
      </c>
      <c r="C490" t="s">
        <v>74</v>
      </c>
      <c r="D490" t="s">
        <v>74</v>
      </c>
      <c r="E490" t="s">
        <v>6991</v>
      </c>
      <c r="F490" t="s">
        <v>7017</v>
      </c>
      <c r="G490" t="s">
        <v>74</v>
      </c>
      <c r="H490" t="s">
        <v>74</v>
      </c>
      <c r="I490" t="s">
        <v>7018</v>
      </c>
      <c r="J490" t="s">
        <v>7019</v>
      </c>
      <c r="K490" t="s">
        <v>74</v>
      </c>
      <c r="L490" t="s">
        <v>74</v>
      </c>
      <c r="M490" t="s">
        <v>77</v>
      </c>
      <c r="N490" t="s">
        <v>6994</v>
      </c>
      <c r="O490" t="s">
        <v>7020</v>
      </c>
      <c r="P490" t="s">
        <v>7021</v>
      </c>
      <c r="Q490" t="s">
        <v>7022</v>
      </c>
      <c r="R490" t="s">
        <v>74</v>
      </c>
      <c r="S490" t="s">
        <v>74</v>
      </c>
      <c r="T490" t="s">
        <v>74</v>
      </c>
      <c r="U490" t="s">
        <v>74</v>
      </c>
      <c r="V490" t="s">
        <v>74</v>
      </c>
      <c r="W490" t="s">
        <v>2466</v>
      </c>
      <c r="X490" t="s">
        <v>852</v>
      </c>
      <c r="Y490" t="s">
        <v>7023</v>
      </c>
      <c r="Z490" t="s">
        <v>74</v>
      </c>
      <c r="AA490" t="s">
        <v>7024</v>
      </c>
      <c r="AB490" t="s">
        <v>74</v>
      </c>
      <c r="AC490" t="s">
        <v>74</v>
      </c>
      <c r="AD490" t="s">
        <v>74</v>
      </c>
      <c r="AE490" t="s">
        <v>74</v>
      </c>
      <c r="AF490" t="s">
        <v>74</v>
      </c>
      <c r="AG490">
        <v>0</v>
      </c>
      <c r="AH490">
        <v>0</v>
      </c>
      <c r="AI490">
        <v>0</v>
      </c>
      <c r="AJ490">
        <v>0</v>
      </c>
      <c r="AK490">
        <v>3</v>
      </c>
      <c r="AL490" t="s">
        <v>7001</v>
      </c>
      <c r="AM490" t="s">
        <v>1440</v>
      </c>
      <c r="AN490" t="s">
        <v>7002</v>
      </c>
      <c r="AO490" t="s">
        <v>74</v>
      </c>
      <c r="AP490" t="s">
        <v>74</v>
      </c>
      <c r="AQ490" t="s">
        <v>74</v>
      </c>
      <c r="AR490" t="s">
        <v>74</v>
      </c>
      <c r="AS490" t="s">
        <v>74</v>
      </c>
      <c r="AT490" t="s">
        <v>74</v>
      </c>
      <c r="AU490">
        <v>2002</v>
      </c>
      <c r="AV490" t="s">
        <v>74</v>
      </c>
      <c r="AW490" t="s">
        <v>74</v>
      </c>
      <c r="AX490" t="s">
        <v>74</v>
      </c>
      <c r="AY490" t="s">
        <v>74</v>
      </c>
      <c r="AZ490" t="s">
        <v>74</v>
      </c>
      <c r="BA490" t="s">
        <v>74</v>
      </c>
      <c r="BB490">
        <v>339</v>
      </c>
      <c r="BC490">
        <v>342</v>
      </c>
      <c r="BD490" t="s">
        <v>74</v>
      </c>
      <c r="BE490" t="s">
        <v>74</v>
      </c>
      <c r="BF490" t="s">
        <v>74</v>
      </c>
      <c r="BG490" t="s">
        <v>74</v>
      </c>
      <c r="BH490" t="s">
        <v>74</v>
      </c>
      <c r="BI490">
        <v>4</v>
      </c>
      <c r="BJ490" t="s">
        <v>403</v>
      </c>
      <c r="BK490" t="s">
        <v>7004</v>
      </c>
      <c r="BL490" t="s">
        <v>403</v>
      </c>
      <c r="BM490" t="s">
        <v>7025</v>
      </c>
      <c r="BN490" t="s">
        <v>74</v>
      </c>
      <c r="BO490" t="s">
        <v>74</v>
      </c>
      <c r="BP490" t="s">
        <v>74</v>
      </c>
      <c r="BQ490" t="s">
        <v>74</v>
      </c>
      <c r="BR490" t="s">
        <v>107</v>
      </c>
      <c r="BS490" t="s">
        <v>7026</v>
      </c>
      <c r="BT490" t="str">
        <f>HYPERLINK("https%3A%2F%2Fwww.webofscience.com%2Fwos%2Fwoscc%2Ffull-record%2FWOS:000185937700099","View Full Record in Web of Science")</f>
        <v>View Full Record in Web of Science</v>
      </c>
    </row>
    <row r="491" spans="1:72" x14ac:dyDescent="0.15">
      <c r="A491" t="s">
        <v>6989</v>
      </c>
      <c r="B491" t="s">
        <v>7027</v>
      </c>
      <c r="C491" t="s">
        <v>74</v>
      </c>
      <c r="D491" t="s">
        <v>74</v>
      </c>
      <c r="E491" t="s">
        <v>7028</v>
      </c>
      <c r="F491" t="s">
        <v>7027</v>
      </c>
      <c r="G491" t="s">
        <v>74</v>
      </c>
      <c r="H491" t="s">
        <v>74</v>
      </c>
      <c r="I491" t="s">
        <v>7029</v>
      </c>
      <c r="J491" t="s">
        <v>7030</v>
      </c>
      <c r="K491" t="s">
        <v>7031</v>
      </c>
      <c r="L491" t="s">
        <v>74</v>
      </c>
      <c r="M491" t="s">
        <v>77</v>
      </c>
      <c r="N491" t="s">
        <v>6994</v>
      </c>
      <c r="O491" t="s">
        <v>7032</v>
      </c>
      <c r="P491" t="s">
        <v>7033</v>
      </c>
      <c r="Q491" t="s">
        <v>7034</v>
      </c>
      <c r="R491" t="s">
        <v>74</v>
      </c>
      <c r="S491" t="s">
        <v>74</v>
      </c>
      <c r="T491" t="s">
        <v>74</v>
      </c>
      <c r="U491" t="s">
        <v>74</v>
      </c>
      <c r="V491" t="s">
        <v>7035</v>
      </c>
      <c r="W491" t="s">
        <v>7036</v>
      </c>
      <c r="X491" t="s">
        <v>7037</v>
      </c>
      <c r="Y491" t="s">
        <v>7038</v>
      </c>
      <c r="Z491" t="s">
        <v>7039</v>
      </c>
      <c r="AA491" t="s">
        <v>74</v>
      </c>
      <c r="AB491" t="s">
        <v>74</v>
      </c>
      <c r="AC491" t="s">
        <v>74</v>
      </c>
      <c r="AD491" t="s">
        <v>74</v>
      </c>
      <c r="AE491" t="s">
        <v>74</v>
      </c>
      <c r="AF491" t="s">
        <v>74</v>
      </c>
      <c r="AG491">
        <v>18</v>
      </c>
      <c r="AH491">
        <v>0</v>
      </c>
      <c r="AI491">
        <v>0</v>
      </c>
      <c r="AJ491">
        <v>0</v>
      </c>
      <c r="AK491">
        <v>3</v>
      </c>
      <c r="AL491" t="s">
        <v>7040</v>
      </c>
      <c r="AM491" t="s">
        <v>195</v>
      </c>
      <c r="AN491" t="s">
        <v>7041</v>
      </c>
      <c r="AO491" t="s">
        <v>7042</v>
      </c>
      <c r="AP491" t="s">
        <v>74</v>
      </c>
      <c r="AQ491" t="s">
        <v>7043</v>
      </c>
      <c r="AR491" t="s">
        <v>7044</v>
      </c>
      <c r="AS491" t="s">
        <v>74</v>
      </c>
      <c r="AT491" t="s">
        <v>74</v>
      </c>
      <c r="AU491">
        <v>2002</v>
      </c>
      <c r="AV491" t="s">
        <v>74</v>
      </c>
      <c r="AW491" t="s">
        <v>74</v>
      </c>
      <c r="AX491" t="s">
        <v>74</v>
      </c>
      <c r="AY491" t="s">
        <v>74</v>
      </c>
      <c r="AZ491" t="s">
        <v>74</v>
      </c>
      <c r="BA491" t="s">
        <v>74</v>
      </c>
      <c r="BB491">
        <v>389</v>
      </c>
      <c r="BC491">
        <v>395</v>
      </c>
      <c r="BD491" t="s">
        <v>74</v>
      </c>
      <c r="BE491" t="s">
        <v>74</v>
      </c>
      <c r="BF491" t="s">
        <v>74</v>
      </c>
      <c r="BG491" t="s">
        <v>74</v>
      </c>
      <c r="BH491" t="s">
        <v>74</v>
      </c>
      <c r="BI491">
        <v>7</v>
      </c>
      <c r="BJ491" t="s">
        <v>7045</v>
      </c>
      <c r="BK491" t="s">
        <v>7004</v>
      </c>
      <c r="BL491" t="s">
        <v>2418</v>
      </c>
      <c r="BM491" t="s">
        <v>7046</v>
      </c>
      <c r="BN491" t="s">
        <v>74</v>
      </c>
      <c r="BO491" t="s">
        <v>74</v>
      </c>
      <c r="BP491" t="s">
        <v>74</v>
      </c>
      <c r="BQ491" t="s">
        <v>74</v>
      </c>
      <c r="BR491" t="s">
        <v>107</v>
      </c>
      <c r="BS491" t="s">
        <v>7047</v>
      </c>
      <c r="BT491" t="str">
        <f>HYPERLINK("https%3A%2F%2Fwww.webofscience.com%2Fwos%2Fwoscc%2Ffull-record%2FWOS:000179697800036","View Full Record in Web of Science")</f>
        <v>View Full Record in Web of Science</v>
      </c>
    </row>
    <row r="492" spans="1:72" x14ac:dyDescent="0.15">
      <c r="A492" t="s">
        <v>1051</v>
      </c>
      <c r="B492" t="s">
        <v>7048</v>
      </c>
      <c r="C492" t="s">
        <v>74</v>
      </c>
      <c r="D492" t="s">
        <v>7049</v>
      </c>
      <c r="E492" t="s">
        <v>74</v>
      </c>
      <c r="F492" t="s">
        <v>7048</v>
      </c>
      <c r="G492" t="s">
        <v>74</v>
      </c>
      <c r="H492" t="s">
        <v>74</v>
      </c>
      <c r="I492" t="s">
        <v>7050</v>
      </c>
      <c r="J492" t="s">
        <v>7051</v>
      </c>
      <c r="K492" t="s">
        <v>7052</v>
      </c>
      <c r="L492" t="s">
        <v>74</v>
      </c>
      <c r="M492" t="s">
        <v>77</v>
      </c>
      <c r="N492" t="s">
        <v>78</v>
      </c>
      <c r="O492" t="s">
        <v>7053</v>
      </c>
      <c r="P492" t="s">
        <v>7054</v>
      </c>
      <c r="Q492" t="s">
        <v>7055</v>
      </c>
      <c r="R492" t="s">
        <v>74</v>
      </c>
      <c r="S492" t="s">
        <v>74</v>
      </c>
      <c r="T492" t="s">
        <v>74</v>
      </c>
      <c r="U492" t="s">
        <v>7056</v>
      </c>
      <c r="V492" t="s">
        <v>7057</v>
      </c>
      <c r="W492" t="s">
        <v>7058</v>
      </c>
      <c r="X492" t="s">
        <v>5053</v>
      </c>
      <c r="Y492" t="s">
        <v>7059</v>
      </c>
      <c r="Z492" t="s">
        <v>74</v>
      </c>
      <c r="AA492" t="s">
        <v>74</v>
      </c>
      <c r="AB492" t="s">
        <v>74</v>
      </c>
      <c r="AC492" t="s">
        <v>74</v>
      </c>
      <c r="AD492" t="s">
        <v>74</v>
      </c>
      <c r="AE492" t="s">
        <v>74</v>
      </c>
      <c r="AF492" t="s">
        <v>74</v>
      </c>
      <c r="AG492">
        <v>23</v>
      </c>
      <c r="AH492">
        <v>4</v>
      </c>
      <c r="AI492">
        <v>4</v>
      </c>
      <c r="AJ492">
        <v>0</v>
      </c>
      <c r="AK492">
        <v>2</v>
      </c>
      <c r="AL492" t="s">
        <v>1013</v>
      </c>
      <c r="AM492" t="s">
        <v>7060</v>
      </c>
      <c r="AN492" t="s">
        <v>7061</v>
      </c>
      <c r="AO492" t="s">
        <v>7062</v>
      </c>
      <c r="AP492" t="s">
        <v>74</v>
      </c>
      <c r="AQ492" t="s">
        <v>74</v>
      </c>
      <c r="AR492" t="s">
        <v>7063</v>
      </c>
      <c r="AS492" t="s">
        <v>74</v>
      </c>
      <c r="AT492" t="s">
        <v>74</v>
      </c>
      <c r="AU492">
        <v>2002</v>
      </c>
      <c r="AV492">
        <v>30</v>
      </c>
      <c r="AW492">
        <v>10</v>
      </c>
      <c r="AX492" t="s">
        <v>74</v>
      </c>
      <c r="AY492" t="s">
        <v>74</v>
      </c>
      <c r="AZ492" t="s">
        <v>74</v>
      </c>
      <c r="BA492" t="s">
        <v>74</v>
      </c>
      <c r="BB492">
        <v>2195</v>
      </c>
      <c r="BC492">
        <v>2201</v>
      </c>
      <c r="BD492" t="s">
        <v>7064</v>
      </c>
      <c r="BE492" t="s">
        <v>7065</v>
      </c>
      <c r="BF492" t="str">
        <f>HYPERLINK("http://dx.doi.org/10.1016/S0273-1177(02)80220-4","http://dx.doi.org/10.1016/S0273-1177(02)80220-4")</f>
        <v>http://dx.doi.org/10.1016/S0273-1177(02)80220-4</v>
      </c>
      <c r="BG492" t="s">
        <v>74</v>
      </c>
      <c r="BH492" t="s">
        <v>74</v>
      </c>
      <c r="BI492">
        <v>7</v>
      </c>
      <c r="BJ492" t="s">
        <v>7066</v>
      </c>
      <c r="BK492" t="s">
        <v>744</v>
      </c>
      <c r="BL492" t="s">
        <v>7067</v>
      </c>
      <c r="BM492" t="s">
        <v>7068</v>
      </c>
      <c r="BN492" t="s">
        <v>74</v>
      </c>
      <c r="BO492" t="s">
        <v>74</v>
      </c>
      <c r="BP492" t="s">
        <v>74</v>
      </c>
      <c r="BQ492" t="s">
        <v>74</v>
      </c>
      <c r="BR492" t="s">
        <v>107</v>
      </c>
      <c r="BS492" t="s">
        <v>7069</v>
      </c>
      <c r="BT492" t="str">
        <f>HYPERLINK("https%3A%2F%2Fwww.webofscience.com%2Fwos%2Fwoscc%2Ffull-record%2FWOS:000180725700006","View Full Record in Web of Science")</f>
        <v>View Full Record in Web of Science</v>
      </c>
    </row>
    <row r="493" spans="1:72" x14ac:dyDescent="0.15">
      <c r="A493" t="s">
        <v>1051</v>
      </c>
      <c r="B493" t="s">
        <v>7070</v>
      </c>
      <c r="C493" t="s">
        <v>74</v>
      </c>
      <c r="D493" t="s">
        <v>7071</v>
      </c>
      <c r="E493" t="s">
        <v>74</v>
      </c>
      <c r="F493" t="s">
        <v>7070</v>
      </c>
      <c r="G493" t="s">
        <v>74</v>
      </c>
      <c r="H493" t="s">
        <v>74</v>
      </c>
      <c r="I493" t="s">
        <v>7072</v>
      </c>
      <c r="J493" t="s">
        <v>7073</v>
      </c>
      <c r="K493" t="s">
        <v>7074</v>
      </c>
      <c r="L493" t="s">
        <v>74</v>
      </c>
      <c r="M493" t="s">
        <v>77</v>
      </c>
      <c r="N493" t="s">
        <v>947</v>
      </c>
      <c r="O493" t="s">
        <v>74</v>
      </c>
      <c r="P493" t="s">
        <v>74</v>
      </c>
      <c r="Q493" t="s">
        <v>74</v>
      </c>
      <c r="R493" t="s">
        <v>74</v>
      </c>
      <c r="S493" t="s">
        <v>74</v>
      </c>
      <c r="T493" t="s">
        <v>74</v>
      </c>
      <c r="U493" t="s">
        <v>7075</v>
      </c>
      <c r="V493" t="s">
        <v>74</v>
      </c>
      <c r="W493" t="s">
        <v>7076</v>
      </c>
      <c r="X493" t="s">
        <v>7077</v>
      </c>
      <c r="Y493" t="s">
        <v>7078</v>
      </c>
      <c r="Z493" t="s">
        <v>7079</v>
      </c>
      <c r="AA493" t="s">
        <v>7080</v>
      </c>
      <c r="AB493" t="s">
        <v>7081</v>
      </c>
      <c r="AC493" t="s">
        <v>74</v>
      </c>
      <c r="AD493" t="s">
        <v>74</v>
      </c>
      <c r="AE493" t="s">
        <v>74</v>
      </c>
      <c r="AF493" t="s">
        <v>74</v>
      </c>
      <c r="AG493">
        <v>516</v>
      </c>
      <c r="AH493">
        <v>121</v>
      </c>
      <c r="AI493">
        <v>135</v>
      </c>
      <c r="AJ493">
        <v>1</v>
      </c>
      <c r="AK493">
        <v>63</v>
      </c>
      <c r="AL493" t="s">
        <v>7082</v>
      </c>
      <c r="AM493" t="s">
        <v>1127</v>
      </c>
      <c r="AN493" t="s">
        <v>7083</v>
      </c>
      <c r="AO493" t="s">
        <v>7084</v>
      </c>
      <c r="AP493" t="s">
        <v>74</v>
      </c>
      <c r="AQ493" t="s">
        <v>7085</v>
      </c>
      <c r="AR493" t="s">
        <v>7086</v>
      </c>
      <c r="AS493" t="s">
        <v>7087</v>
      </c>
      <c r="AT493" t="s">
        <v>74</v>
      </c>
      <c r="AU493">
        <v>2002</v>
      </c>
      <c r="AV493">
        <v>43</v>
      </c>
      <c r="AW493" t="s">
        <v>74</v>
      </c>
      <c r="AX493" t="s">
        <v>74</v>
      </c>
      <c r="AY493" t="s">
        <v>74</v>
      </c>
      <c r="AZ493" t="s">
        <v>74</v>
      </c>
      <c r="BA493" t="s">
        <v>74</v>
      </c>
      <c r="BB493">
        <v>171</v>
      </c>
      <c r="BC493" t="s">
        <v>7088</v>
      </c>
      <c r="BD493" t="s">
        <v>74</v>
      </c>
      <c r="BE493" t="s">
        <v>7089</v>
      </c>
      <c r="BF493" t="str">
        <f>HYPERLINK("http://dx.doi.org/10.1016/S0065-2881(02)43005-2","http://dx.doi.org/10.1016/S0065-2881(02)43005-2")</f>
        <v>http://dx.doi.org/10.1016/S0065-2881(02)43005-2</v>
      </c>
      <c r="BG493" t="s">
        <v>74</v>
      </c>
      <c r="BH493" t="s">
        <v>74</v>
      </c>
      <c r="BI493">
        <v>110</v>
      </c>
      <c r="BJ493" t="s">
        <v>1919</v>
      </c>
      <c r="BK493" t="s">
        <v>170</v>
      </c>
      <c r="BL493" t="s">
        <v>1919</v>
      </c>
      <c r="BM493" t="s">
        <v>7090</v>
      </c>
      <c r="BN493">
        <v>12154613</v>
      </c>
      <c r="BO493" t="s">
        <v>74</v>
      </c>
      <c r="BP493" t="s">
        <v>74</v>
      </c>
      <c r="BQ493" t="s">
        <v>74</v>
      </c>
      <c r="BR493" t="s">
        <v>107</v>
      </c>
      <c r="BS493" t="s">
        <v>7091</v>
      </c>
      <c r="BT493" t="str">
        <f>HYPERLINK("https%3A%2F%2Fwww.webofscience.com%2Fwos%2Fwoscc%2Ffull-record%2FWOS:000177426600003","View Full Record in Web of Science")</f>
        <v>View Full Record in Web of Science</v>
      </c>
    </row>
    <row r="494" spans="1:72" x14ac:dyDescent="0.15">
      <c r="A494" t="s">
        <v>72</v>
      </c>
      <c r="B494" t="s">
        <v>7092</v>
      </c>
      <c r="C494" t="s">
        <v>74</v>
      </c>
      <c r="D494" t="s">
        <v>74</v>
      </c>
      <c r="E494" t="s">
        <v>74</v>
      </c>
      <c r="F494" t="s">
        <v>7092</v>
      </c>
      <c r="G494" t="s">
        <v>74</v>
      </c>
      <c r="H494" t="s">
        <v>74</v>
      </c>
      <c r="I494" t="s">
        <v>7093</v>
      </c>
      <c r="J494" t="s">
        <v>7094</v>
      </c>
      <c r="K494" t="s">
        <v>74</v>
      </c>
      <c r="L494" t="s">
        <v>74</v>
      </c>
      <c r="M494" t="s">
        <v>77</v>
      </c>
      <c r="N494" t="s">
        <v>153</v>
      </c>
      <c r="O494" t="s">
        <v>74</v>
      </c>
      <c r="P494" t="s">
        <v>74</v>
      </c>
      <c r="Q494" t="s">
        <v>74</v>
      </c>
      <c r="R494" t="s">
        <v>74</v>
      </c>
      <c r="S494" t="s">
        <v>74</v>
      </c>
      <c r="T494" t="s">
        <v>7095</v>
      </c>
      <c r="U494" t="s">
        <v>1190</v>
      </c>
      <c r="V494" t="s">
        <v>7096</v>
      </c>
      <c r="W494" t="s">
        <v>7097</v>
      </c>
      <c r="X494" t="s">
        <v>7098</v>
      </c>
      <c r="Y494" t="s">
        <v>7099</v>
      </c>
      <c r="Z494" t="s">
        <v>7100</v>
      </c>
      <c r="AA494" t="s">
        <v>74</v>
      </c>
      <c r="AB494" t="s">
        <v>74</v>
      </c>
      <c r="AC494" t="s">
        <v>74</v>
      </c>
      <c r="AD494" t="s">
        <v>74</v>
      </c>
      <c r="AE494" t="s">
        <v>74</v>
      </c>
      <c r="AF494" t="s">
        <v>74</v>
      </c>
      <c r="AG494">
        <v>44</v>
      </c>
      <c r="AH494">
        <v>3</v>
      </c>
      <c r="AI494">
        <v>3</v>
      </c>
      <c r="AJ494">
        <v>0</v>
      </c>
      <c r="AK494">
        <v>2</v>
      </c>
      <c r="AL494" t="s">
        <v>453</v>
      </c>
      <c r="AM494" t="s">
        <v>454</v>
      </c>
      <c r="AN494" t="s">
        <v>455</v>
      </c>
      <c r="AO494" t="s">
        <v>7101</v>
      </c>
      <c r="AP494" t="s">
        <v>7102</v>
      </c>
      <c r="AQ494" t="s">
        <v>74</v>
      </c>
      <c r="AR494" t="s">
        <v>7094</v>
      </c>
      <c r="AS494" t="s">
        <v>7103</v>
      </c>
      <c r="AT494" t="s">
        <v>74</v>
      </c>
      <c r="AU494">
        <v>2002</v>
      </c>
      <c r="AV494">
        <v>26</v>
      </c>
      <c r="AW494" t="s">
        <v>98</v>
      </c>
      <c r="AX494" t="s">
        <v>74</v>
      </c>
      <c r="AY494" t="s">
        <v>74</v>
      </c>
      <c r="AZ494" t="s">
        <v>74</v>
      </c>
      <c r="BA494" t="s">
        <v>74</v>
      </c>
      <c r="BB494">
        <v>275</v>
      </c>
      <c r="BC494">
        <v>287</v>
      </c>
      <c r="BD494" t="s">
        <v>74</v>
      </c>
      <c r="BE494" t="s">
        <v>7104</v>
      </c>
      <c r="BF494" t="str">
        <f>HYPERLINK("http://dx.doi.org/10.1080/03115510208619257","http://dx.doi.org/10.1080/03115510208619257")</f>
        <v>http://dx.doi.org/10.1080/03115510208619257</v>
      </c>
      <c r="BG494" t="s">
        <v>74</v>
      </c>
      <c r="BH494" t="s">
        <v>74</v>
      </c>
      <c r="BI494">
        <v>13</v>
      </c>
      <c r="BJ494" t="s">
        <v>1784</v>
      </c>
      <c r="BK494" t="s">
        <v>170</v>
      </c>
      <c r="BL494" t="s">
        <v>1784</v>
      </c>
      <c r="BM494" t="s">
        <v>7105</v>
      </c>
      <c r="BN494" t="s">
        <v>74</v>
      </c>
      <c r="BO494" t="s">
        <v>74</v>
      </c>
      <c r="BP494" t="s">
        <v>74</v>
      </c>
      <c r="BQ494" t="s">
        <v>74</v>
      </c>
      <c r="BR494" t="s">
        <v>107</v>
      </c>
      <c r="BS494" t="s">
        <v>7106</v>
      </c>
      <c r="BT494" t="str">
        <f>HYPERLINK("https%3A%2F%2Fwww.webofscience.com%2Fwos%2Fwoscc%2Ffull-record%2FWOS:000176493000019","View Full Record in Web of Science")</f>
        <v>View Full Record in Web of Science</v>
      </c>
    </row>
    <row r="495" spans="1:72" x14ac:dyDescent="0.15">
      <c r="A495" t="s">
        <v>72</v>
      </c>
      <c r="B495" t="s">
        <v>7107</v>
      </c>
      <c r="C495" t="s">
        <v>74</v>
      </c>
      <c r="D495" t="s">
        <v>74</v>
      </c>
      <c r="E495" t="s">
        <v>74</v>
      </c>
      <c r="F495" t="s">
        <v>7107</v>
      </c>
      <c r="G495" t="s">
        <v>74</v>
      </c>
      <c r="H495" t="s">
        <v>74</v>
      </c>
      <c r="I495" t="s">
        <v>7108</v>
      </c>
      <c r="J495" t="s">
        <v>7094</v>
      </c>
      <c r="K495" t="s">
        <v>74</v>
      </c>
      <c r="L495" t="s">
        <v>74</v>
      </c>
      <c r="M495" t="s">
        <v>77</v>
      </c>
      <c r="N495" t="s">
        <v>153</v>
      </c>
      <c r="O495" t="s">
        <v>74</v>
      </c>
      <c r="P495" t="s">
        <v>74</v>
      </c>
      <c r="Q495" t="s">
        <v>74</v>
      </c>
      <c r="R495" t="s">
        <v>74</v>
      </c>
      <c r="S495" t="s">
        <v>74</v>
      </c>
      <c r="T495" t="s">
        <v>7109</v>
      </c>
      <c r="U495" t="s">
        <v>7110</v>
      </c>
      <c r="V495" t="s">
        <v>7111</v>
      </c>
      <c r="W495" t="s">
        <v>7112</v>
      </c>
      <c r="X495" t="s">
        <v>6269</v>
      </c>
      <c r="Y495" t="s">
        <v>7113</v>
      </c>
      <c r="Z495" t="s">
        <v>74</v>
      </c>
      <c r="AA495" t="s">
        <v>7114</v>
      </c>
      <c r="AB495" t="s">
        <v>74</v>
      </c>
      <c r="AC495" t="s">
        <v>74</v>
      </c>
      <c r="AD495" t="s">
        <v>74</v>
      </c>
      <c r="AE495" t="s">
        <v>74</v>
      </c>
      <c r="AF495" t="s">
        <v>74</v>
      </c>
      <c r="AG495">
        <v>38</v>
      </c>
      <c r="AH495">
        <v>3</v>
      </c>
      <c r="AI495">
        <v>3</v>
      </c>
      <c r="AJ495">
        <v>0</v>
      </c>
      <c r="AK495">
        <v>4</v>
      </c>
      <c r="AL495" t="s">
        <v>7115</v>
      </c>
      <c r="AM495" t="s">
        <v>7116</v>
      </c>
      <c r="AN495" t="s">
        <v>7117</v>
      </c>
      <c r="AO495" t="s">
        <v>7101</v>
      </c>
      <c r="AP495" t="s">
        <v>74</v>
      </c>
      <c r="AQ495" t="s">
        <v>74</v>
      </c>
      <c r="AR495" t="s">
        <v>7094</v>
      </c>
      <c r="AS495" t="s">
        <v>7103</v>
      </c>
      <c r="AT495" t="s">
        <v>74</v>
      </c>
      <c r="AU495">
        <v>2002</v>
      </c>
      <c r="AV495">
        <v>26</v>
      </c>
      <c r="AW495" t="s">
        <v>436</v>
      </c>
      <c r="AX495" t="s">
        <v>74</v>
      </c>
      <c r="AY495" t="s">
        <v>74</v>
      </c>
      <c r="AZ495" t="s">
        <v>74</v>
      </c>
      <c r="BA495" t="s">
        <v>74</v>
      </c>
      <c r="BB495">
        <v>519</v>
      </c>
      <c r="BC495">
        <v>530</v>
      </c>
      <c r="BD495" t="s">
        <v>74</v>
      </c>
      <c r="BE495" t="s">
        <v>7118</v>
      </c>
      <c r="BF495" t="str">
        <f>HYPERLINK("http://dx.doi.org/10.1080/03115510208619541","http://dx.doi.org/10.1080/03115510208619541")</f>
        <v>http://dx.doi.org/10.1080/03115510208619541</v>
      </c>
      <c r="BG495" t="s">
        <v>74</v>
      </c>
      <c r="BH495" t="s">
        <v>74</v>
      </c>
      <c r="BI495">
        <v>12</v>
      </c>
      <c r="BJ495" t="s">
        <v>1784</v>
      </c>
      <c r="BK495" t="s">
        <v>170</v>
      </c>
      <c r="BL495" t="s">
        <v>1784</v>
      </c>
      <c r="BM495" t="s">
        <v>7119</v>
      </c>
      <c r="BN495" t="s">
        <v>74</v>
      </c>
      <c r="BO495" t="s">
        <v>74</v>
      </c>
      <c r="BP495" t="s">
        <v>74</v>
      </c>
      <c r="BQ495" t="s">
        <v>74</v>
      </c>
      <c r="BR495" t="s">
        <v>107</v>
      </c>
      <c r="BS495" t="s">
        <v>7120</v>
      </c>
      <c r="BT495" t="str">
        <f>HYPERLINK("https%3A%2F%2Fwww.webofscience.com%2Fwos%2Fwoscc%2Ffull-record%2FWOS:000179165700011","View Full Record in Web of Science")</f>
        <v>View Full Record in Web of Science</v>
      </c>
    </row>
    <row r="496" spans="1:72" x14ac:dyDescent="0.15">
      <c r="A496" t="s">
        <v>72</v>
      </c>
      <c r="B496" t="s">
        <v>7121</v>
      </c>
      <c r="C496" t="s">
        <v>74</v>
      </c>
      <c r="D496" t="s">
        <v>74</v>
      </c>
      <c r="E496" t="s">
        <v>74</v>
      </c>
      <c r="F496" t="s">
        <v>7121</v>
      </c>
      <c r="G496" t="s">
        <v>74</v>
      </c>
      <c r="H496" t="s">
        <v>74</v>
      </c>
      <c r="I496" t="s">
        <v>7122</v>
      </c>
      <c r="J496" t="s">
        <v>3603</v>
      </c>
      <c r="K496" t="s">
        <v>74</v>
      </c>
      <c r="L496" t="s">
        <v>74</v>
      </c>
      <c r="M496" t="s">
        <v>77</v>
      </c>
      <c r="N496" t="s">
        <v>153</v>
      </c>
      <c r="O496" t="s">
        <v>74</v>
      </c>
      <c r="P496" t="s">
        <v>74</v>
      </c>
      <c r="Q496" t="s">
        <v>74</v>
      </c>
      <c r="R496" t="s">
        <v>74</v>
      </c>
      <c r="S496" t="s">
        <v>74</v>
      </c>
      <c r="T496" t="s">
        <v>7123</v>
      </c>
      <c r="U496" t="s">
        <v>7124</v>
      </c>
      <c r="V496" t="s">
        <v>7125</v>
      </c>
      <c r="W496" t="s">
        <v>851</v>
      </c>
      <c r="X496" t="s">
        <v>852</v>
      </c>
      <c r="Y496" t="s">
        <v>7126</v>
      </c>
      <c r="Z496" t="s">
        <v>74</v>
      </c>
      <c r="AA496" t="s">
        <v>74</v>
      </c>
      <c r="AB496" t="s">
        <v>74</v>
      </c>
      <c r="AC496" t="s">
        <v>74</v>
      </c>
      <c r="AD496" t="s">
        <v>74</v>
      </c>
      <c r="AE496" t="s">
        <v>74</v>
      </c>
      <c r="AF496" t="s">
        <v>74</v>
      </c>
      <c r="AG496">
        <v>37</v>
      </c>
      <c r="AH496">
        <v>33</v>
      </c>
      <c r="AI496">
        <v>35</v>
      </c>
      <c r="AJ496">
        <v>0</v>
      </c>
      <c r="AK496">
        <v>4</v>
      </c>
      <c r="AL496" t="s">
        <v>3611</v>
      </c>
      <c r="AM496" t="s">
        <v>3612</v>
      </c>
      <c r="AN496" t="s">
        <v>3613</v>
      </c>
      <c r="AO496" t="s">
        <v>3614</v>
      </c>
      <c r="AP496" t="s">
        <v>74</v>
      </c>
      <c r="AQ496" t="s">
        <v>74</v>
      </c>
      <c r="AR496" t="s">
        <v>3615</v>
      </c>
      <c r="AS496" t="s">
        <v>3616</v>
      </c>
      <c r="AT496" t="s">
        <v>7127</v>
      </c>
      <c r="AU496">
        <v>2002</v>
      </c>
      <c r="AV496">
        <v>20</v>
      </c>
      <c r="AW496">
        <v>1</v>
      </c>
      <c r="AX496" t="s">
        <v>74</v>
      </c>
      <c r="AY496" t="s">
        <v>74</v>
      </c>
      <c r="AZ496" t="s">
        <v>74</v>
      </c>
      <c r="BA496" t="s">
        <v>74</v>
      </c>
      <c r="BB496">
        <v>13</v>
      </c>
      <c r="BC496">
        <v>28</v>
      </c>
      <c r="BD496" t="s">
        <v>74</v>
      </c>
      <c r="BE496" t="s">
        <v>7128</v>
      </c>
      <c r="BF496" t="str">
        <f>HYPERLINK("http://dx.doi.org/10.5194/angeo-20-13-2002","http://dx.doi.org/10.5194/angeo-20-13-2002")</f>
        <v>http://dx.doi.org/10.5194/angeo-20-13-2002</v>
      </c>
      <c r="BG496" t="s">
        <v>74</v>
      </c>
      <c r="BH496" t="s">
        <v>74</v>
      </c>
      <c r="BI496">
        <v>16</v>
      </c>
      <c r="BJ496" t="s">
        <v>3618</v>
      </c>
      <c r="BK496" t="s">
        <v>170</v>
      </c>
      <c r="BL496" t="s">
        <v>3619</v>
      </c>
      <c r="BM496" t="s">
        <v>7129</v>
      </c>
      <c r="BN496" t="s">
        <v>74</v>
      </c>
      <c r="BO496" t="s">
        <v>7130</v>
      </c>
      <c r="BP496" t="s">
        <v>74</v>
      </c>
      <c r="BQ496" t="s">
        <v>74</v>
      </c>
      <c r="BR496" t="s">
        <v>107</v>
      </c>
      <c r="BS496" t="s">
        <v>7131</v>
      </c>
      <c r="BT496" t="str">
        <f>HYPERLINK("https%3A%2F%2Fwww.webofscience.com%2Fwos%2Fwoscc%2Ffull-record%2FWOS:000174154100002","View Full Record in Web of Science")</f>
        <v>View Full Record in Web of Science</v>
      </c>
    </row>
    <row r="497" spans="1:72" x14ac:dyDescent="0.15">
      <c r="A497" t="s">
        <v>72</v>
      </c>
      <c r="B497" t="s">
        <v>7132</v>
      </c>
      <c r="C497" t="s">
        <v>74</v>
      </c>
      <c r="D497" t="s">
        <v>74</v>
      </c>
      <c r="E497" t="s">
        <v>74</v>
      </c>
      <c r="F497" t="s">
        <v>7132</v>
      </c>
      <c r="G497" t="s">
        <v>74</v>
      </c>
      <c r="H497" t="s">
        <v>74</v>
      </c>
      <c r="I497" t="s">
        <v>7133</v>
      </c>
      <c r="J497" t="s">
        <v>3603</v>
      </c>
      <c r="K497" t="s">
        <v>74</v>
      </c>
      <c r="L497" t="s">
        <v>74</v>
      </c>
      <c r="M497" t="s">
        <v>77</v>
      </c>
      <c r="N497" t="s">
        <v>153</v>
      </c>
      <c r="O497" t="s">
        <v>74</v>
      </c>
      <c r="P497" t="s">
        <v>74</v>
      </c>
      <c r="Q497" t="s">
        <v>74</v>
      </c>
      <c r="R497" t="s">
        <v>74</v>
      </c>
      <c r="S497" t="s">
        <v>74</v>
      </c>
      <c r="T497" t="s">
        <v>7134</v>
      </c>
      <c r="U497" t="s">
        <v>7135</v>
      </c>
      <c r="V497" t="s">
        <v>7136</v>
      </c>
      <c r="W497" t="s">
        <v>7137</v>
      </c>
      <c r="X497" t="s">
        <v>7138</v>
      </c>
      <c r="Y497" t="s">
        <v>7126</v>
      </c>
      <c r="Z497" t="s">
        <v>74</v>
      </c>
      <c r="AA497" t="s">
        <v>7139</v>
      </c>
      <c r="AB497" t="s">
        <v>7140</v>
      </c>
      <c r="AC497" t="s">
        <v>74</v>
      </c>
      <c r="AD497" t="s">
        <v>74</v>
      </c>
      <c r="AE497" t="s">
        <v>74</v>
      </c>
      <c r="AF497" t="s">
        <v>74</v>
      </c>
      <c r="AG497">
        <v>44</v>
      </c>
      <c r="AH497">
        <v>19</v>
      </c>
      <c r="AI497">
        <v>20</v>
      </c>
      <c r="AJ497">
        <v>0</v>
      </c>
      <c r="AK497">
        <v>1</v>
      </c>
      <c r="AL497" t="s">
        <v>3611</v>
      </c>
      <c r="AM497" t="s">
        <v>3612</v>
      </c>
      <c r="AN497" t="s">
        <v>3613</v>
      </c>
      <c r="AO497" t="s">
        <v>3614</v>
      </c>
      <c r="AP497" t="s">
        <v>74</v>
      </c>
      <c r="AQ497" t="s">
        <v>74</v>
      </c>
      <c r="AR497" t="s">
        <v>3615</v>
      </c>
      <c r="AS497" t="s">
        <v>3616</v>
      </c>
      <c r="AT497" t="s">
        <v>7127</v>
      </c>
      <c r="AU497">
        <v>2002</v>
      </c>
      <c r="AV497">
        <v>20</v>
      </c>
      <c r="AW497">
        <v>1</v>
      </c>
      <c r="AX497" t="s">
        <v>74</v>
      </c>
      <c r="AY497" t="s">
        <v>74</v>
      </c>
      <c r="AZ497" t="s">
        <v>74</v>
      </c>
      <c r="BA497" t="s">
        <v>74</v>
      </c>
      <c r="BB497">
        <v>29</v>
      </c>
      <c r="BC497">
        <v>40</v>
      </c>
      <c r="BD497" t="s">
        <v>74</v>
      </c>
      <c r="BE497" t="s">
        <v>7141</v>
      </c>
      <c r="BF497" t="str">
        <f>HYPERLINK("http://dx.doi.org/10.5194/angeo-20-29-2002","http://dx.doi.org/10.5194/angeo-20-29-2002")</f>
        <v>http://dx.doi.org/10.5194/angeo-20-29-2002</v>
      </c>
      <c r="BG497" t="s">
        <v>74</v>
      </c>
      <c r="BH497" t="s">
        <v>74</v>
      </c>
      <c r="BI497">
        <v>12</v>
      </c>
      <c r="BJ497" t="s">
        <v>3618</v>
      </c>
      <c r="BK497" t="s">
        <v>170</v>
      </c>
      <c r="BL497" t="s">
        <v>3619</v>
      </c>
      <c r="BM497" t="s">
        <v>7129</v>
      </c>
      <c r="BN497" t="s">
        <v>74</v>
      </c>
      <c r="BO497" t="s">
        <v>7142</v>
      </c>
      <c r="BP497" t="s">
        <v>74</v>
      </c>
      <c r="BQ497" t="s">
        <v>74</v>
      </c>
      <c r="BR497" t="s">
        <v>107</v>
      </c>
      <c r="BS497" t="s">
        <v>7143</v>
      </c>
      <c r="BT497" t="str">
        <f>HYPERLINK("https%3A%2F%2Fwww.webofscience.com%2Fwos%2Fwoscc%2Ffull-record%2FWOS:000174154100003","View Full Record in Web of Science")</f>
        <v>View Full Record in Web of Science</v>
      </c>
    </row>
    <row r="498" spans="1:72" x14ac:dyDescent="0.15">
      <c r="A498" t="s">
        <v>1051</v>
      </c>
      <c r="B498" t="s">
        <v>7144</v>
      </c>
      <c r="C498" t="s">
        <v>74</v>
      </c>
      <c r="D498" t="s">
        <v>7145</v>
      </c>
      <c r="E498" t="s">
        <v>74</v>
      </c>
      <c r="F498" t="s">
        <v>7144</v>
      </c>
      <c r="G498" t="s">
        <v>74</v>
      </c>
      <c r="H498" t="s">
        <v>74</v>
      </c>
      <c r="I498" t="s">
        <v>7146</v>
      </c>
      <c r="J498" t="s">
        <v>7147</v>
      </c>
      <c r="K498" t="s">
        <v>7148</v>
      </c>
      <c r="L498" t="s">
        <v>74</v>
      </c>
      <c r="M498" t="s">
        <v>77</v>
      </c>
      <c r="N498" t="s">
        <v>78</v>
      </c>
      <c r="O498" t="s">
        <v>7149</v>
      </c>
      <c r="P498" t="s">
        <v>7150</v>
      </c>
      <c r="Q498" t="s">
        <v>7151</v>
      </c>
      <c r="R498" t="s">
        <v>74</v>
      </c>
      <c r="S498" t="s">
        <v>7152</v>
      </c>
      <c r="T498" t="s">
        <v>74</v>
      </c>
      <c r="U498" t="s">
        <v>7153</v>
      </c>
      <c r="V498" t="s">
        <v>7154</v>
      </c>
      <c r="W498" t="s">
        <v>7155</v>
      </c>
      <c r="X498" t="s">
        <v>7156</v>
      </c>
      <c r="Y498" t="s">
        <v>7157</v>
      </c>
      <c r="Z498" t="s">
        <v>74</v>
      </c>
      <c r="AA498" t="s">
        <v>7158</v>
      </c>
      <c r="AB498" t="s">
        <v>7159</v>
      </c>
      <c r="AC498" t="s">
        <v>74</v>
      </c>
      <c r="AD498" t="s">
        <v>74</v>
      </c>
      <c r="AE498" t="s">
        <v>74</v>
      </c>
      <c r="AF498" t="s">
        <v>74</v>
      </c>
      <c r="AG498">
        <v>29</v>
      </c>
      <c r="AH498">
        <v>59</v>
      </c>
      <c r="AI498">
        <v>66</v>
      </c>
      <c r="AJ498">
        <v>0</v>
      </c>
      <c r="AK498">
        <v>21</v>
      </c>
      <c r="AL498" t="s">
        <v>7160</v>
      </c>
      <c r="AM498" t="s">
        <v>5426</v>
      </c>
      <c r="AN498" t="s">
        <v>7161</v>
      </c>
      <c r="AO498" t="s">
        <v>7162</v>
      </c>
      <c r="AP498" t="s">
        <v>74</v>
      </c>
      <c r="AQ498" t="s">
        <v>7163</v>
      </c>
      <c r="AR498" t="s">
        <v>7164</v>
      </c>
      <c r="AS498" t="s">
        <v>74</v>
      </c>
      <c r="AT498" t="s">
        <v>74</v>
      </c>
      <c r="AU498">
        <v>2002</v>
      </c>
      <c r="AV498">
        <v>34</v>
      </c>
      <c r="AW498" t="s">
        <v>74</v>
      </c>
      <c r="AX498" t="s">
        <v>74</v>
      </c>
      <c r="AY498" t="s">
        <v>74</v>
      </c>
      <c r="AZ498" t="s">
        <v>74</v>
      </c>
      <c r="BA498" t="s">
        <v>74</v>
      </c>
      <c r="BB498">
        <v>81</v>
      </c>
      <c r="BC498">
        <v>88</v>
      </c>
      <c r="BD498" t="s">
        <v>74</v>
      </c>
      <c r="BE498" t="s">
        <v>7165</v>
      </c>
      <c r="BF498" t="str">
        <f>HYPERLINK("http://dx.doi.org/10.3189/172756402781817851","http://dx.doi.org/10.3189/172756402781817851")</f>
        <v>http://dx.doi.org/10.3189/172756402781817851</v>
      </c>
      <c r="BG498" t="s">
        <v>74</v>
      </c>
      <c r="BH498" t="s">
        <v>74</v>
      </c>
      <c r="BI498">
        <v>8</v>
      </c>
      <c r="BJ498" t="s">
        <v>7166</v>
      </c>
      <c r="BK498" t="s">
        <v>744</v>
      </c>
      <c r="BL498" t="s">
        <v>7167</v>
      </c>
      <c r="BM498" t="s">
        <v>7168</v>
      </c>
      <c r="BN498" t="s">
        <v>74</v>
      </c>
      <c r="BO498" t="s">
        <v>173</v>
      </c>
      <c r="BP498" t="s">
        <v>74</v>
      </c>
      <c r="BQ498" t="s">
        <v>74</v>
      </c>
      <c r="BR498" t="s">
        <v>107</v>
      </c>
      <c r="BS498" t="s">
        <v>7169</v>
      </c>
      <c r="BT498" t="str">
        <f>HYPERLINK("https%3A%2F%2Fwww.webofscience.com%2Fwos%2Fwoscc%2Ffull-record%2FWOS:000177565100013","View Full Record in Web of Science")</f>
        <v>View Full Record in Web of Science</v>
      </c>
    </row>
    <row r="499" spans="1:72" x14ac:dyDescent="0.15">
      <c r="A499" t="s">
        <v>1051</v>
      </c>
      <c r="B499" t="s">
        <v>7170</v>
      </c>
      <c r="C499" t="s">
        <v>74</v>
      </c>
      <c r="D499" t="s">
        <v>7145</v>
      </c>
      <c r="E499" t="s">
        <v>74</v>
      </c>
      <c r="F499" t="s">
        <v>7170</v>
      </c>
      <c r="G499" t="s">
        <v>74</v>
      </c>
      <c r="H499" t="s">
        <v>74</v>
      </c>
      <c r="I499" t="s">
        <v>7171</v>
      </c>
      <c r="J499" t="s">
        <v>7147</v>
      </c>
      <c r="K499" t="s">
        <v>7172</v>
      </c>
      <c r="L499" t="s">
        <v>74</v>
      </c>
      <c r="M499" t="s">
        <v>77</v>
      </c>
      <c r="N499" t="s">
        <v>78</v>
      </c>
      <c r="O499" t="s">
        <v>7149</v>
      </c>
      <c r="P499" t="s">
        <v>7150</v>
      </c>
      <c r="Q499" t="s">
        <v>7173</v>
      </c>
      <c r="R499" t="s">
        <v>74</v>
      </c>
      <c r="S499" t="s">
        <v>7152</v>
      </c>
      <c r="T499" t="s">
        <v>74</v>
      </c>
      <c r="U499" t="s">
        <v>7174</v>
      </c>
      <c r="V499" t="s">
        <v>7175</v>
      </c>
      <c r="W499" t="s">
        <v>7176</v>
      </c>
      <c r="X499" t="s">
        <v>7177</v>
      </c>
      <c r="Y499" t="s">
        <v>7178</v>
      </c>
      <c r="Z499" t="s">
        <v>74</v>
      </c>
      <c r="AA499" t="s">
        <v>7179</v>
      </c>
      <c r="AB499" t="s">
        <v>7180</v>
      </c>
      <c r="AC499" t="s">
        <v>74</v>
      </c>
      <c r="AD499" t="s">
        <v>74</v>
      </c>
      <c r="AE499" t="s">
        <v>74</v>
      </c>
      <c r="AF499" t="s">
        <v>74</v>
      </c>
      <c r="AG499">
        <v>36</v>
      </c>
      <c r="AH499">
        <v>12</v>
      </c>
      <c r="AI499">
        <v>12</v>
      </c>
      <c r="AJ499">
        <v>0</v>
      </c>
      <c r="AK499">
        <v>5</v>
      </c>
      <c r="AL499" t="s">
        <v>7160</v>
      </c>
      <c r="AM499" t="s">
        <v>5426</v>
      </c>
      <c r="AN499" t="s">
        <v>7161</v>
      </c>
      <c r="AO499" t="s">
        <v>7162</v>
      </c>
      <c r="AP499" t="s">
        <v>74</v>
      </c>
      <c r="AQ499" t="s">
        <v>7163</v>
      </c>
      <c r="AR499" t="s">
        <v>7181</v>
      </c>
      <c r="AS499" t="s">
        <v>74</v>
      </c>
      <c r="AT499" t="s">
        <v>74</v>
      </c>
      <c r="AU499">
        <v>2002</v>
      </c>
      <c r="AV499">
        <v>34</v>
      </c>
      <c r="AW499" t="s">
        <v>74</v>
      </c>
      <c r="AX499" t="s">
        <v>74</v>
      </c>
      <c r="AY499" t="s">
        <v>74</v>
      </c>
      <c r="AZ499" t="s">
        <v>74</v>
      </c>
      <c r="BA499" t="s">
        <v>74</v>
      </c>
      <c r="BB499">
        <v>89</v>
      </c>
      <c r="BC499">
        <v>94</v>
      </c>
      <c r="BD499" t="s">
        <v>74</v>
      </c>
      <c r="BE499" t="s">
        <v>7182</v>
      </c>
      <c r="BF499" t="str">
        <f>HYPERLINK("http://dx.doi.org/10.3189/172756402781817554","http://dx.doi.org/10.3189/172756402781817554")</f>
        <v>http://dx.doi.org/10.3189/172756402781817554</v>
      </c>
      <c r="BG499" t="s">
        <v>74</v>
      </c>
      <c r="BH499" t="s">
        <v>74</v>
      </c>
      <c r="BI499">
        <v>6</v>
      </c>
      <c r="BJ499" t="s">
        <v>7166</v>
      </c>
      <c r="BK499" t="s">
        <v>744</v>
      </c>
      <c r="BL499" t="s">
        <v>7167</v>
      </c>
      <c r="BM499" t="s">
        <v>7168</v>
      </c>
      <c r="BN499" t="s">
        <v>74</v>
      </c>
      <c r="BO499" t="s">
        <v>173</v>
      </c>
      <c r="BP499" t="s">
        <v>74</v>
      </c>
      <c r="BQ499" t="s">
        <v>74</v>
      </c>
      <c r="BR499" t="s">
        <v>107</v>
      </c>
      <c r="BS499" t="s">
        <v>7183</v>
      </c>
      <c r="BT499" t="str">
        <f>HYPERLINK("https%3A%2F%2Fwww.webofscience.com%2Fwos%2Fwoscc%2Ffull-record%2FWOS:000177565100014","View Full Record in Web of Science")</f>
        <v>View Full Record in Web of Science</v>
      </c>
    </row>
    <row r="500" spans="1:72" x14ac:dyDescent="0.15">
      <c r="A500" t="s">
        <v>1051</v>
      </c>
      <c r="B500" t="s">
        <v>7184</v>
      </c>
      <c r="C500" t="s">
        <v>74</v>
      </c>
      <c r="D500" t="s">
        <v>7145</v>
      </c>
      <c r="E500" t="s">
        <v>74</v>
      </c>
      <c r="F500" t="s">
        <v>7184</v>
      </c>
      <c r="G500" t="s">
        <v>74</v>
      </c>
      <c r="H500" t="s">
        <v>74</v>
      </c>
      <c r="I500" t="s">
        <v>7185</v>
      </c>
      <c r="J500" t="s">
        <v>7147</v>
      </c>
      <c r="K500" t="s">
        <v>7172</v>
      </c>
      <c r="L500" t="s">
        <v>74</v>
      </c>
      <c r="M500" t="s">
        <v>77</v>
      </c>
      <c r="N500" t="s">
        <v>78</v>
      </c>
      <c r="O500" t="s">
        <v>7149</v>
      </c>
      <c r="P500" t="s">
        <v>7150</v>
      </c>
      <c r="Q500" t="s">
        <v>7173</v>
      </c>
      <c r="R500" t="s">
        <v>74</v>
      </c>
      <c r="S500" t="s">
        <v>7152</v>
      </c>
      <c r="T500" t="s">
        <v>74</v>
      </c>
      <c r="U500" t="s">
        <v>7186</v>
      </c>
      <c r="V500" t="s">
        <v>7187</v>
      </c>
      <c r="W500" t="s">
        <v>7188</v>
      </c>
      <c r="X500" t="s">
        <v>7189</v>
      </c>
      <c r="Y500" t="s">
        <v>7190</v>
      </c>
      <c r="Z500" t="s">
        <v>74</v>
      </c>
      <c r="AA500" t="s">
        <v>7191</v>
      </c>
      <c r="AB500" t="s">
        <v>7192</v>
      </c>
      <c r="AC500" t="s">
        <v>74</v>
      </c>
      <c r="AD500" t="s">
        <v>74</v>
      </c>
      <c r="AE500" t="s">
        <v>74</v>
      </c>
      <c r="AF500" t="s">
        <v>74</v>
      </c>
      <c r="AG500">
        <v>21</v>
      </c>
      <c r="AH500">
        <v>28</v>
      </c>
      <c r="AI500">
        <v>29</v>
      </c>
      <c r="AJ500">
        <v>1</v>
      </c>
      <c r="AK500">
        <v>5</v>
      </c>
      <c r="AL500" t="s">
        <v>7160</v>
      </c>
      <c r="AM500" t="s">
        <v>5426</v>
      </c>
      <c r="AN500" t="s">
        <v>7161</v>
      </c>
      <c r="AO500" t="s">
        <v>7162</v>
      </c>
      <c r="AP500" t="s">
        <v>74</v>
      </c>
      <c r="AQ500" t="s">
        <v>7163</v>
      </c>
      <c r="AR500" t="s">
        <v>7181</v>
      </c>
      <c r="AS500" t="s">
        <v>74</v>
      </c>
      <c r="AT500" t="s">
        <v>74</v>
      </c>
      <c r="AU500">
        <v>2002</v>
      </c>
      <c r="AV500">
        <v>34</v>
      </c>
      <c r="AW500" t="s">
        <v>74</v>
      </c>
      <c r="AX500" t="s">
        <v>74</v>
      </c>
      <c r="AY500" t="s">
        <v>74</v>
      </c>
      <c r="AZ500" t="s">
        <v>74</v>
      </c>
      <c r="BA500" t="s">
        <v>74</v>
      </c>
      <c r="BB500">
        <v>95</v>
      </c>
      <c r="BC500">
        <v>100</v>
      </c>
      <c r="BD500" t="s">
        <v>74</v>
      </c>
      <c r="BE500" t="s">
        <v>7193</v>
      </c>
      <c r="BF500" t="str">
        <f>HYPERLINK("http://dx.doi.org/10.3189/172756402781817914","http://dx.doi.org/10.3189/172756402781817914")</f>
        <v>http://dx.doi.org/10.3189/172756402781817914</v>
      </c>
      <c r="BG500" t="s">
        <v>74</v>
      </c>
      <c r="BH500" t="s">
        <v>74</v>
      </c>
      <c r="BI500">
        <v>6</v>
      </c>
      <c r="BJ500" t="s">
        <v>7166</v>
      </c>
      <c r="BK500" t="s">
        <v>744</v>
      </c>
      <c r="BL500" t="s">
        <v>7167</v>
      </c>
      <c r="BM500" t="s">
        <v>7168</v>
      </c>
      <c r="BN500" t="s">
        <v>74</v>
      </c>
      <c r="BO500" t="s">
        <v>173</v>
      </c>
      <c r="BP500" t="s">
        <v>74</v>
      </c>
      <c r="BQ500" t="s">
        <v>74</v>
      </c>
      <c r="BR500" t="s">
        <v>107</v>
      </c>
      <c r="BS500" t="s">
        <v>7194</v>
      </c>
      <c r="BT500" t="str">
        <f>HYPERLINK("https%3A%2F%2Fwww.webofscience.com%2Fwos%2Fwoscc%2Ffull-record%2FWOS:000177565100015","View Full Record in Web of Science")</f>
        <v>View Full Record in Web of Science</v>
      </c>
    </row>
    <row r="501" spans="1:72" x14ac:dyDescent="0.15">
      <c r="A501" t="s">
        <v>1051</v>
      </c>
      <c r="B501" t="s">
        <v>7195</v>
      </c>
      <c r="C501" t="s">
        <v>74</v>
      </c>
      <c r="D501" t="s">
        <v>7145</v>
      </c>
      <c r="E501" t="s">
        <v>74</v>
      </c>
      <c r="F501" t="s">
        <v>7195</v>
      </c>
      <c r="G501" t="s">
        <v>74</v>
      </c>
      <c r="H501" t="s">
        <v>74</v>
      </c>
      <c r="I501" t="s">
        <v>7196</v>
      </c>
      <c r="J501" t="s">
        <v>7147</v>
      </c>
      <c r="K501" t="s">
        <v>7172</v>
      </c>
      <c r="L501" t="s">
        <v>74</v>
      </c>
      <c r="M501" t="s">
        <v>77</v>
      </c>
      <c r="N501" t="s">
        <v>78</v>
      </c>
      <c r="O501" t="s">
        <v>7149</v>
      </c>
      <c r="P501" t="s">
        <v>7150</v>
      </c>
      <c r="Q501" t="s">
        <v>7173</v>
      </c>
      <c r="R501" t="s">
        <v>74</v>
      </c>
      <c r="S501" t="s">
        <v>7152</v>
      </c>
      <c r="T501" t="s">
        <v>74</v>
      </c>
      <c r="U501" t="s">
        <v>7197</v>
      </c>
      <c r="V501" t="s">
        <v>7198</v>
      </c>
      <c r="W501" t="s">
        <v>7199</v>
      </c>
      <c r="X501" t="s">
        <v>7200</v>
      </c>
      <c r="Y501" t="s">
        <v>7201</v>
      </c>
      <c r="Z501" t="s">
        <v>74</v>
      </c>
      <c r="AA501" t="s">
        <v>74</v>
      </c>
      <c r="AB501" t="s">
        <v>7202</v>
      </c>
      <c r="AC501" t="s">
        <v>74</v>
      </c>
      <c r="AD501" t="s">
        <v>74</v>
      </c>
      <c r="AE501" t="s">
        <v>74</v>
      </c>
      <c r="AF501" t="s">
        <v>74</v>
      </c>
      <c r="AG501">
        <v>18</v>
      </c>
      <c r="AH501">
        <v>14</v>
      </c>
      <c r="AI501">
        <v>17</v>
      </c>
      <c r="AJ501">
        <v>0</v>
      </c>
      <c r="AK501">
        <v>10</v>
      </c>
      <c r="AL501" t="s">
        <v>7160</v>
      </c>
      <c r="AM501" t="s">
        <v>5426</v>
      </c>
      <c r="AN501" t="s">
        <v>7161</v>
      </c>
      <c r="AO501" t="s">
        <v>7162</v>
      </c>
      <c r="AP501" t="s">
        <v>74</v>
      </c>
      <c r="AQ501" t="s">
        <v>7163</v>
      </c>
      <c r="AR501" t="s">
        <v>7181</v>
      </c>
      <c r="AS501" t="s">
        <v>74</v>
      </c>
      <c r="AT501" t="s">
        <v>74</v>
      </c>
      <c r="AU501">
        <v>2002</v>
      </c>
      <c r="AV501">
        <v>34</v>
      </c>
      <c r="AW501" t="s">
        <v>74</v>
      </c>
      <c r="AX501" t="s">
        <v>74</v>
      </c>
      <c r="AY501" t="s">
        <v>74</v>
      </c>
      <c r="AZ501" t="s">
        <v>74</v>
      </c>
      <c r="BA501" t="s">
        <v>74</v>
      </c>
      <c r="BB501">
        <v>113</v>
      </c>
      <c r="BC501">
        <v>120</v>
      </c>
      <c r="BD501" t="s">
        <v>74</v>
      </c>
      <c r="BE501" t="s">
        <v>7203</v>
      </c>
      <c r="BF501" t="str">
        <f>HYPERLINK("http://dx.doi.org/10.3189/172756402781818003","http://dx.doi.org/10.3189/172756402781818003")</f>
        <v>http://dx.doi.org/10.3189/172756402781818003</v>
      </c>
      <c r="BG501" t="s">
        <v>74</v>
      </c>
      <c r="BH501" t="s">
        <v>74</v>
      </c>
      <c r="BI501">
        <v>8</v>
      </c>
      <c r="BJ501" t="s">
        <v>7166</v>
      </c>
      <c r="BK501" t="s">
        <v>744</v>
      </c>
      <c r="BL501" t="s">
        <v>7167</v>
      </c>
      <c r="BM501" t="s">
        <v>7168</v>
      </c>
      <c r="BN501" t="s">
        <v>74</v>
      </c>
      <c r="BO501" t="s">
        <v>535</v>
      </c>
      <c r="BP501" t="s">
        <v>74</v>
      </c>
      <c r="BQ501" t="s">
        <v>74</v>
      </c>
      <c r="BR501" t="s">
        <v>107</v>
      </c>
      <c r="BS501" t="s">
        <v>7204</v>
      </c>
      <c r="BT501" t="str">
        <f>HYPERLINK("https%3A%2F%2Fwww.webofscience.com%2Fwos%2Fwoscc%2Ffull-record%2FWOS:000177565100018","View Full Record in Web of Science")</f>
        <v>View Full Record in Web of Science</v>
      </c>
    </row>
    <row r="502" spans="1:72" x14ac:dyDescent="0.15">
      <c r="A502" t="s">
        <v>1051</v>
      </c>
      <c r="B502" t="s">
        <v>7205</v>
      </c>
      <c r="C502" t="s">
        <v>74</v>
      </c>
      <c r="D502" t="s">
        <v>7145</v>
      </c>
      <c r="E502" t="s">
        <v>74</v>
      </c>
      <c r="F502" t="s">
        <v>7205</v>
      </c>
      <c r="G502" t="s">
        <v>74</v>
      </c>
      <c r="H502" t="s">
        <v>74</v>
      </c>
      <c r="I502" t="s">
        <v>7206</v>
      </c>
      <c r="J502" t="s">
        <v>7147</v>
      </c>
      <c r="K502" t="s">
        <v>7172</v>
      </c>
      <c r="L502" t="s">
        <v>74</v>
      </c>
      <c r="M502" t="s">
        <v>77</v>
      </c>
      <c r="N502" t="s">
        <v>78</v>
      </c>
      <c r="O502" t="s">
        <v>7149</v>
      </c>
      <c r="P502" t="s">
        <v>7150</v>
      </c>
      <c r="Q502" t="s">
        <v>7173</v>
      </c>
      <c r="R502" t="s">
        <v>74</v>
      </c>
      <c r="S502" t="s">
        <v>7152</v>
      </c>
      <c r="T502" t="s">
        <v>74</v>
      </c>
      <c r="U502" t="s">
        <v>7207</v>
      </c>
      <c r="V502" t="s">
        <v>7208</v>
      </c>
      <c r="W502" t="s">
        <v>7209</v>
      </c>
      <c r="X502" t="s">
        <v>7210</v>
      </c>
      <c r="Y502" t="s">
        <v>7211</v>
      </c>
      <c r="Z502" t="s">
        <v>74</v>
      </c>
      <c r="AA502" t="s">
        <v>7212</v>
      </c>
      <c r="AB502" t="s">
        <v>74</v>
      </c>
      <c r="AC502" t="s">
        <v>74</v>
      </c>
      <c r="AD502" t="s">
        <v>74</v>
      </c>
      <c r="AE502" t="s">
        <v>74</v>
      </c>
      <c r="AF502" t="s">
        <v>74</v>
      </c>
      <c r="AG502">
        <v>19</v>
      </c>
      <c r="AH502">
        <v>48</v>
      </c>
      <c r="AI502">
        <v>52</v>
      </c>
      <c r="AJ502">
        <v>0</v>
      </c>
      <c r="AK502">
        <v>13</v>
      </c>
      <c r="AL502" t="s">
        <v>7160</v>
      </c>
      <c r="AM502" t="s">
        <v>5426</v>
      </c>
      <c r="AN502" t="s">
        <v>7161</v>
      </c>
      <c r="AO502" t="s">
        <v>7162</v>
      </c>
      <c r="AP502" t="s">
        <v>74</v>
      </c>
      <c r="AQ502" t="s">
        <v>7163</v>
      </c>
      <c r="AR502" t="s">
        <v>7181</v>
      </c>
      <c r="AS502" t="s">
        <v>74</v>
      </c>
      <c r="AT502" t="s">
        <v>74</v>
      </c>
      <c r="AU502">
        <v>2002</v>
      </c>
      <c r="AV502">
        <v>34</v>
      </c>
      <c r="AW502" t="s">
        <v>74</v>
      </c>
      <c r="AX502" t="s">
        <v>74</v>
      </c>
      <c r="AY502" t="s">
        <v>74</v>
      </c>
      <c r="AZ502" t="s">
        <v>74</v>
      </c>
      <c r="BA502" t="s">
        <v>74</v>
      </c>
      <c r="BB502">
        <v>127</v>
      </c>
      <c r="BC502">
        <v>133</v>
      </c>
      <c r="BD502" t="s">
        <v>74</v>
      </c>
      <c r="BE502" t="s">
        <v>7213</v>
      </c>
      <c r="BF502" t="str">
        <f>HYPERLINK("http://dx.doi.org/10.3189/172756402781817798","http://dx.doi.org/10.3189/172756402781817798")</f>
        <v>http://dx.doi.org/10.3189/172756402781817798</v>
      </c>
      <c r="BG502" t="s">
        <v>74</v>
      </c>
      <c r="BH502" t="s">
        <v>74</v>
      </c>
      <c r="BI502">
        <v>7</v>
      </c>
      <c r="BJ502" t="s">
        <v>7166</v>
      </c>
      <c r="BK502" t="s">
        <v>744</v>
      </c>
      <c r="BL502" t="s">
        <v>7167</v>
      </c>
      <c r="BM502" t="s">
        <v>7168</v>
      </c>
      <c r="BN502" t="s">
        <v>74</v>
      </c>
      <c r="BO502" t="s">
        <v>1767</v>
      </c>
      <c r="BP502" t="s">
        <v>74</v>
      </c>
      <c r="BQ502" t="s">
        <v>74</v>
      </c>
      <c r="BR502" t="s">
        <v>107</v>
      </c>
      <c r="BS502" t="s">
        <v>7214</v>
      </c>
      <c r="BT502" t="str">
        <f>HYPERLINK("https%3A%2F%2Fwww.webofscience.com%2Fwos%2Fwoscc%2Ffull-record%2FWOS:000177565100020","View Full Record in Web of Science")</f>
        <v>View Full Record in Web of Science</v>
      </c>
    </row>
    <row r="503" spans="1:72" x14ac:dyDescent="0.15">
      <c r="A503" t="s">
        <v>1051</v>
      </c>
      <c r="B503" t="s">
        <v>7215</v>
      </c>
      <c r="C503" t="s">
        <v>74</v>
      </c>
      <c r="D503" t="s">
        <v>7145</v>
      </c>
      <c r="E503" t="s">
        <v>74</v>
      </c>
      <c r="F503" t="s">
        <v>7215</v>
      </c>
      <c r="G503" t="s">
        <v>74</v>
      </c>
      <c r="H503" t="s">
        <v>74</v>
      </c>
      <c r="I503" t="s">
        <v>7216</v>
      </c>
      <c r="J503" t="s">
        <v>7147</v>
      </c>
      <c r="K503" t="s">
        <v>7172</v>
      </c>
      <c r="L503" t="s">
        <v>74</v>
      </c>
      <c r="M503" t="s">
        <v>77</v>
      </c>
      <c r="N503" t="s">
        <v>78</v>
      </c>
      <c r="O503" t="s">
        <v>7149</v>
      </c>
      <c r="P503" t="s">
        <v>7150</v>
      </c>
      <c r="Q503" t="s">
        <v>7173</v>
      </c>
      <c r="R503" t="s">
        <v>74</v>
      </c>
      <c r="S503" t="s">
        <v>7152</v>
      </c>
      <c r="T503" t="s">
        <v>74</v>
      </c>
      <c r="U503" t="s">
        <v>7217</v>
      </c>
      <c r="V503" t="s">
        <v>7218</v>
      </c>
      <c r="W503" t="s">
        <v>7219</v>
      </c>
      <c r="X503" t="s">
        <v>7220</v>
      </c>
      <c r="Y503" t="s">
        <v>7221</v>
      </c>
      <c r="Z503" t="s">
        <v>74</v>
      </c>
      <c r="AA503" t="s">
        <v>7222</v>
      </c>
      <c r="AB503" t="s">
        <v>7223</v>
      </c>
      <c r="AC503" t="s">
        <v>74</v>
      </c>
      <c r="AD503" t="s">
        <v>74</v>
      </c>
      <c r="AE503" t="s">
        <v>74</v>
      </c>
      <c r="AF503" t="s">
        <v>74</v>
      </c>
      <c r="AG503">
        <v>33</v>
      </c>
      <c r="AH503">
        <v>12</v>
      </c>
      <c r="AI503">
        <v>18</v>
      </c>
      <c r="AJ503">
        <v>0</v>
      </c>
      <c r="AK503">
        <v>3</v>
      </c>
      <c r="AL503" t="s">
        <v>7160</v>
      </c>
      <c r="AM503" t="s">
        <v>5426</v>
      </c>
      <c r="AN503" t="s">
        <v>7161</v>
      </c>
      <c r="AO503" t="s">
        <v>7162</v>
      </c>
      <c r="AP503" t="s">
        <v>74</v>
      </c>
      <c r="AQ503" t="s">
        <v>7163</v>
      </c>
      <c r="AR503" t="s">
        <v>7181</v>
      </c>
      <c r="AS503" t="s">
        <v>74</v>
      </c>
      <c r="AT503" t="s">
        <v>74</v>
      </c>
      <c r="AU503">
        <v>2002</v>
      </c>
      <c r="AV503">
        <v>34</v>
      </c>
      <c r="AW503" t="s">
        <v>74</v>
      </c>
      <c r="AX503" t="s">
        <v>74</v>
      </c>
      <c r="AY503" t="s">
        <v>74</v>
      </c>
      <c r="AZ503" t="s">
        <v>74</v>
      </c>
      <c r="BA503" t="s">
        <v>74</v>
      </c>
      <c r="BB503">
        <v>157</v>
      </c>
      <c r="BC503">
        <v>164</v>
      </c>
      <c r="BD503" t="s">
        <v>74</v>
      </c>
      <c r="BE503" t="s">
        <v>7224</v>
      </c>
      <c r="BF503" t="str">
        <f>HYPERLINK("http://dx.doi.org/10.3189/172756402781817888","http://dx.doi.org/10.3189/172756402781817888")</f>
        <v>http://dx.doi.org/10.3189/172756402781817888</v>
      </c>
      <c r="BG503" t="s">
        <v>74</v>
      </c>
      <c r="BH503" t="s">
        <v>74</v>
      </c>
      <c r="BI503">
        <v>8</v>
      </c>
      <c r="BJ503" t="s">
        <v>7166</v>
      </c>
      <c r="BK503" t="s">
        <v>744</v>
      </c>
      <c r="BL503" t="s">
        <v>7167</v>
      </c>
      <c r="BM503" t="s">
        <v>7168</v>
      </c>
      <c r="BN503" t="s">
        <v>74</v>
      </c>
      <c r="BO503" t="s">
        <v>173</v>
      </c>
      <c r="BP503" t="s">
        <v>74</v>
      </c>
      <c r="BQ503" t="s">
        <v>74</v>
      </c>
      <c r="BR503" t="s">
        <v>107</v>
      </c>
      <c r="BS503" t="s">
        <v>7225</v>
      </c>
      <c r="BT503" t="str">
        <f>HYPERLINK("https%3A%2F%2Fwww.webofscience.com%2Fwos%2Fwoscc%2Ffull-record%2FWOS:000177565100024","View Full Record in Web of Science")</f>
        <v>View Full Record in Web of Science</v>
      </c>
    </row>
    <row r="504" spans="1:72" x14ac:dyDescent="0.15">
      <c r="A504" t="s">
        <v>1051</v>
      </c>
      <c r="B504" t="s">
        <v>7226</v>
      </c>
      <c r="C504" t="s">
        <v>74</v>
      </c>
      <c r="D504" t="s">
        <v>7145</v>
      </c>
      <c r="E504" t="s">
        <v>74</v>
      </c>
      <c r="F504" t="s">
        <v>7226</v>
      </c>
      <c r="G504" t="s">
        <v>74</v>
      </c>
      <c r="H504" t="s">
        <v>74</v>
      </c>
      <c r="I504" t="s">
        <v>7227</v>
      </c>
      <c r="J504" t="s">
        <v>7147</v>
      </c>
      <c r="K504" t="s">
        <v>7148</v>
      </c>
      <c r="L504" t="s">
        <v>74</v>
      </c>
      <c r="M504" t="s">
        <v>77</v>
      </c>
      <c r="N504" t="s">
        <v>78</v>
      </c>
      <c r="O504" t="s">
        <v>7149</v>
      </c>
      <c r="P504" t="s">
        <v>7150</v>
      </c>
      <c r="Q504" t="s">
        <v>7151</v>
      </c>
      <c r="R504" t="s">
        <v>74</v>
      </c>
      <c r="S504" t="s">
        <v>7152</v>
      </c>
      <c r="T504" t="s">
        <v>74</v>
      </c>
      <c r="U504" t="s">
        <v>7228</v>
      </c>
      <c r="V504" t="s">
        <v>7229</v>
      </c>
      <c r="W504" t="s">
        <v>851</v>
      </c>
      <c r="X504" t="s">
        <v>852</v>
      </c>
      <c r="Y504" t="s">
        <v>7230</v>
      </c>
      <c r="Z504" t="s">
        <v>74</v>
      </c>
      <c r="AA504" t="s">
        <v>3334</v>
      </c>
      <c r="AB504" t="s">
        <v>3335</v>
      </c>
      <c r="AC504" t="s">
        <v>7231</v>
      </c>
      <c r="AD504" t="s">
        <v>5343</v>
      </c>
      <c r="AE504" t="s">
        <v>74</v>
      </c>
      <c r="AF504" t="s">
        <v>74</v>
      </c>
      <c r="AG504">
        <v>26</v>
      </c>
      <c r="AH504">
        <v>23</v>
      </c>
      <c r="AI504">
        <v>23</v>
      </c>
      <c r="AJ504">
        <v>0</v>
      </c>
      <c r="AK504">
        <v>3</v>
      </c>
      <c r="AL504" t="s">
        <v>7160</v>
      </c>
      <c r="AM504" t="s">
        <v>5426</v>
      </c>
      <c r="AN504" t="s">
        <v>7161</v>
      </c>
      <c r="AO504" t="s">
        <v>7162</v>
      </c>
      <c r="AP504" t="s">
        <v>74</v>
      </c>
      <c r="AQ504" t="s">
        <v>7163</v>
      </c>
      <c r="AR504" t="s">
        <v>7164</v>
      </c>
      <c r="AS504" t="s">
        <v>74</v>
      </c>
      <c r="AT504" t="s">
        <v>74</v>
      </c>
      <c r="AU504">
        <v>2002</v>
      </c>
      <c r="AV504">
        <v>34</v>
      </c>
      <c r="AW504" t="s">
        <v>74</v>
      </c>
      <c r="AX504" t="s">
        <v>74</v>
      </c>
      <c r="AY504" t="s">
        <v>74</v>
      </c>
      <c r="AZ504" t="s">
        <v>74</v>
      </c>
      <c r="BA504" t="s">
        <v>74</v>
      </c>
      <c r="BB504">
        <v>165</v>
      </c>
      <c r="BC504">
        <v>170</v>
      </c>
      <c r="BD504" t="s">
        <v>74</v>
      </c>
      <c r="BE504" t="s">
        <v>7232</v>
      </c>
      <c r="BF504" t="str">
        <f>HYPERLINK("http://dx.doi.org/10.3189/172756402781817572","http://dx.doi.org/10.3189/172756402781817572")</f>
        <v>http://dx.doi.org/10.3189/172756402781817572</v>
      </c>
      <c r="BG504" t="s">
        <v>74</v>
      </c>
      <c r="BH504" t="s">
        <v>74</v>
      </c>
      <c r="BI504">
        <v>6</v>
      </c>
      <c r="BJ504" t="s">
        <v>7166</v>
      </c>
      <c r="BK504" t="s">
        <v>744</v>
      </c>
      <c r="BL504" t="s">
        <v>7167</v>
      </c>
      <c r="BM504" t="s">
        <v>7168</v>
      </c>
      <c r="BN504" t="s">
        <v>74</v>
      </c>
      <c r="BO504" t="s">
        <v>173</v>
      </c>
      <c r="BP504" t="s">
        <v>74</v>
      </c>
      <c r="BQ504" t="s">
        <v>74</v>
      </c>
      <c r="BR504" t="s">
        <v>107</v>
      </c>
      <c r="BS504" t="s">
        <v>7233</v>
      </c>
      <c r="BT504" t="str">
        <f>HYPERLINK("https%3A%2F%2Fwww.webofscience.com%2Fwos%2Fwoscc%2Ffull-record%2FWOS:000177565100025","View Full Record in Web of Science")</f>
        <v>View Full Record in Web of Science</v>
      </c>
    </row>
    <row r="505" spans="1:72" x14ac:dyDescent="0.15">
      <c r="A505" t="s">
        <v>1051</v>
      </c>
      <c r="B505" t="s">
        <v>7234</v>
      </c>
      <c r="C505" t="s">
        <v>74</v>
      </c>
      <c r="D505" t="s">
        <v>7145</v>
      </c>
      <c r="E505" t="s">
        <v>74</v>
      </c>
      <c r="F505" t="s">
        <v>7234</v>
      </c>
      <c r="G505" t="s">
        <v>74</v>
      </c>
      <c r="H505" t="s">
        <v>74</v>
      </c>
      <c r="I505" t="s">
        <v>7235</v>
      </c>
      <c r="J505" t="s">
        <v>7147</v>
      </c>
      <c r="K505" t="s">
        <v>7172</v>
      </c>
      <c r="L505" t="s">
        <v>74</v>
      </c>
      <c r="M505" t="s">
        <v>77</v>
      </c>
      <c r="N505" t="s">
        <v>78</v>
      </c>
      <c r="O505" t="s">
        <v>7149</v>
      </c>
      <c r="P505" t="s">
        <v>7150</v>
      </c>
      <c r="Q505" t="s">
        <v>7173</v>
      </c>
      <c r="R505" t="s">
        <v>74</v>
      </c>
      <c r="S505" t="s">
        <v>7152</v>
      </c>
      <c r="T505" t="s">
        <v>74</v>
      </c>
      <c r="U505" t="s">
        <v>242</v>
      </c>
      <c r="V505" t="s">
        <v>7236</v>
      </c>
      <c r="W505" t="s">
        <v>7237</v>
      </c>
      <c r="X505" t="s">
        <v>7238</v>
      </c>
      <c r="Y505" t="s">
        <v>7239</v>
      </c>
      <c r="Z505" t="s">
        <v>74</v>
      </c>
      <c r="AA505" t="s">
        <v>7240</v>
      </c>
      <c r="AB505" t="s">
        <v>7241</v>
      </c>
      <c r="AC505" t="s">
        <v>74</v>
      </c>
      <c r="AD505" t="s">
        <v>74</v>
      </c>
      <c r="AE505" t="s">
        <v>74</v>
      </c>
      <c r="AF505" t="s">
        <v>74</v>
      </c>
      <c r="AG505">
        <v>14</v>
      </c>
      <c r="AH505">
        <v>11</v>
      </c>
      <c r="AI505">
        <v>13</v>
      </c>
      <c r="AJ505">
        <v>0</v>
      </c>
      <c r="AK505">
        <v>7</v>
      </c>
      <c r="AL505" t="s">
        <v>7160</v>
      </c>
      <c r="AM505" t="s">
        <v>5426</v>
      </c>
      <c r="AN505" t="s">
        <v>7161</v>
      </c>
      <c r="AO505" t="s">
        <v>7162</v>
      </c>
      <c r="AP505" t="s">
        <v>74</v>
      </c>
      <c r="AQ505" t="s">
        <v>7163</v>
      </c>
      <c r="AR505" t="s">
        <v>7181</v>
      </c>
      <c r="AS505" t="s">
        <v>74</v>
      </c>
      <c r="AT505" t="s">
        <v>74</v>
      </c>
      <c r="AU505">
        <v>2002</v>
      </c>
      <c r="AV505">
        <v>34</v>
      </c>
      <c r="AW505" t="s">
        <v>74</v>
      </c>
      <c r="AX505" t="s">
        <v>74</v>
      </c>
      <c r="AY505" t="s">
        <v>74</v>
      </c>
      <c r="AZ505" t="s">
        <v>74</v>
      </c>
      <c r="BA505" t="s">
        <v>74</v>
      </c>
      <c r="BB505">
        <v>184</v>
      </c>
      <c r="BC505">
        <v>188</v>
      </c>
      <c r="BD505" t="s">
        <v>74</v>
      </c>
      <c r="BE505" t="s">
        <v>7242</v>
      </c>
      <c r="BF505" t="str">
        <f>HYPERLINK("http://dx.doi.org/10.3189/172756402781817824","http://dx.doi.org/10.3189/172756402781817824")</f>
        <v>http://dx.doi.org/10.3189/172756402781817824</v>
      </c>
      <c r="BG505" t="s">
        <v>74</v>
      </c>
      <c r="BH505" t="s">
        <v>74</v>
      </c>
      <c r="BI505">
        <v>5</v>
      </c>
      <c r="BJ505" t="s">
        <v>7166</v>
      </c>
      <c r="BK505" t="s">
        <v>744</v>
      </c>
      <c r="BL505" t="s">
        <v>7167</v>
      </c>
      <c r="BM505" t="s">
        <v>7168</v>
      </c>
      <c r="BN505" t="s">
        <v>74</v>
      </c>
      <c r="BO505" t="s">
        <v>173</v>
      </c>
      <c r="BP505" t="s">
        <v>74</v>
      </c>
      <c r="BQ505" t="s">
        <v>74</v>
      </c>
      <c r="BR505" t="s">
        <v>107</v>
      </c>
      <c r="BS505" t="s">
        <v>7243</v>
      </c>
      <c r="BT505" t="str">
        <f>HYPERLINK("https%3A%2F%2Fwww.webofscience.com%2Fwos%2Fwoscc%2Ffull-record%2FWOS:000177565100028","View Full Record in Web of Science")</f>
        <v>View Full Record in Web of Science</v>
      </c>
    </row>
    <row r="506" spans="1:72" x14ac:dyDescent="0.15">
      <c r="A506" t="s">
        <v>1051</v>
      </c>
      <c r="B506" t="s">
        <v>7244</v>
      </c>
      <c r="C506" t="s">
        <v>74</v>
      </c>
      <c r="D506" t="s">
        <v>7145</v>
      </c>
      <c r="E506" t="s">
        <v>74</v>
      </c>
      <c r="F506" t="s">
        <v>7244</v>
      </c>
      <c r="G506" t="s">
        <v>74</v>
      </c>
      <c r="H506" t="s">
        <v>74</v>
      </c>
      <c r="I506" t="s">
        <v>7245</v>
      </c>
      <c r="J506" t="s">
        <v>7147</v>
      </c>
      <c r="K506" t="s">
        <v>7172</v>
      </c>
      <c r="L506" t="s">
        <v>74</v>
      </c>
      <c r="M506" t="s">
        <v>77</v>
      </c>
      <c r="N506" t="s">
        <v>78</v>
      </c>
      <c r="O506" t="s">
        <v>7149</v>
      </c>
      <c r="P506" t="s">
        <v>7150</v>
      </c>
      <c r="Q506" t="s">
        <v>7173</v>
      </c>
      <c r="R506" t="s">
        <v>74</v>
      </c>
      <c r="S506" t="s">
        <v>7152</v>
      </c>
      <c r="T506" t="s">
        <v>74</v>
      </c>
      <c r="U506" t="s">
        <v>7246</v>
      </c>
      <c r="V506" t="s">
        <v>7247</v>
      </c>
      <c r="W506" t="s">
        <v>7248</v>
      </c>
      <c r="X506" t="s">
        <v>7249</v>
      </c>
      <c r="Y506" t="s">
        <v>7250</v>
      </c>
      <c r="Z506" t="s">
        <v>74</v>
      </c>
      <c r="AA506" t="s">
        <v>7251</v>
      </c>
      <c r="AB506" t="s">
        <v>7252</v>
      </c>
      <c r="AC506" t="s">
        <v>7253</v>
      </c>
      <c r="AD506" t="s">
        <v>1612</v>
      </c>
      <c r="AE506" t="s">
        <v>74</v>
      </c>
      <c r="AF506" t="s">
        <v>74</v>
      </c>
      <c r="AG506">
        <v>22</v>
      </c>
      <c r="AH506">
        <v>134</v>
      </c>
      <c r="AI506">
        <v>154</v>
      </c>
      <c r="AJ506">
        <v>1</v>
      </c>
      <c r="AK506">
        <v>28</v>
      </c>
      <c r="AL506" t="s">
        <v>7160</v>
      </c>
      <c r="AM506" t="s">
        <v>5426</v>
      </c>
      <c r="AN506" t="s">
        <v>7161</v>
      </c>
      <c r="AO506" t="s">
        <v>7162</v>
      </c>
      <c r="AP506" t="s">
        <v>74</v>
      </c>
      <c r="AQ506" t="s">
        <v>7163</v>
      </c>
      <c r="AR506" t="s">
        <v>7181</v>
      </c>
      <c r="AS506" t="s">
        <v>74</v>
      </c>
      <c r="AT506" t="s">
        <v>74</v>
      </c>
      <c r="AU506">
        <v>2002</v>
      </c>
      <c r="AV506">
        <v>34</v>
      </c>
      <c r="AW506" t="s">
        <v>74</v>
      </c>
      <c r="AX506" t="s">
        <v>74</v>
      </c>
      <c r="AY506" t="s">
        <v>74</v>
      </c>
      <c r="AZ506" t="s">
        <v>74</v>
      </c>
      <c r="BA506" t="s">
        <v>74</v>
      </c>
      <c r="BB506">
        <v>189</v>
      </c>
      <c r="BC506">
        <v>194</v>
      </c>
      <c r="BD506" t="s">
        <v>74</v>
      </c>
      <c r="BE506" t="s">
        <v>7254</v>
      </c>
      <c r="BF506" t="str">
        <f>HYPERLINK("http://dx.doi.org/10.3189/172756402781817950","http://dx.doi.org/10.3189/172756402781817950")</f>
        <v>http://dx.doi.org/10.3189/172756402781817950</v>
      </c>
      <c r="BG506" t="s">
        <v>74</v>
      </c>
      <c r="BH506" t="s">
        <v>74</v>
      </c>
      <c r="BI506">
        <v>6</v>
      </c>
      <c r="BJ506" t="s">
        <v>7166</v>
      </c>
      <c r="BK506" t="s">
        <v>744</v>
      </c>
      <c r="BL506" t="s">
        <v>7167</v>
      </c>
      <c r="BM506" t="s">
        <v>7168</v>
      </c>
      <c r="BN506" t="s">
        <v>74</v>
      </c>
      <c r="BO506" t="s">
        <v>173</v>
      </c>
      <c r="BP506" t="s">
        <v>74</v>
      </c>
      <c r="BQ506" t="s">
        <v>74</v>
      </c>
      <c r="BR506" t="s">
        <v>107</v>
      </c>
      <c r="BS506" t="s">
        <v>7255</v>
      </c>
      <c r="BT506" t="str">
        <f>HYPERLINK("https%3A%2F%2Fwww.webofscience.com%2Fwos%2Fwoscc%2Ffull-record%2FWOS:000177565100029","View Full Record in Web of Science")</f>
        <v>View Full Record in Web of Science</v>
      </c>
    </row>
    <row r="507" spans="1:72" x14ac:dyDescent="0.15">
      <c r="A507" t="s">
        <v>1051</v>
      </c>
      <c r="B507" t="s">
        <v>7256</v>
      </c>
      <c r="C507" t="s">
        <v>74</v>
      </c>
      <c r="D507" t="s">
        <v>7145</v>
      </c>
      <c r="E507" t="s">
        <v>74</v>
      </c>
      <c r="F507" t="s">
        <v>7256</v>
      </c>
      <c r="G507" t="s">
        <v>74</v>
      </c>
      <c r="H507" t="s">
        <v>74</v>
      </c>
      <c r="I507" t="s">
        <v>7257</v>
      </c>
      <c r="J507" t="s">
        <v>7147</v>
      </c>
      <c r="K507" t="s">
        <v>7148</v>
      </c>
      <c r="L507" t="s">
        <v>74</v>
      </c>
      <c r="M507" t="s">
        <v>77</v>
      </c>
      <c r="N507" t="s">
        <v>78</v>
      </c>
      <c r="O507" t="s">
        <v>7149</v>
      </c>
      <c r="P507" t="s">
        <v>7150</v>
      </c>
      <c r="Q507" t="s">
        <v>7151</v>
      </c>
      <c r="R507" t="s">
        <v>74</v>
      </c>
      <c r="S507" t="s">
        <v>7152</v>
      </c>
      <c r="T507" t="s">
        <v>74</v>
      </c>
      <c r="U507" t="s">
        <v>7258</v>
      </c>
      <c r="V507" t="s">
        <v>7259</v>
      </c>
      <c r="W507" t="s">
        <v>7260</v>
      </c>
      <c r="X507" t="s">
        <v>7037</v>
      </c>
      <c r="Y507" t="s">
        <v>7261</v>
      </c>
      <c r="Z507" t="s">
        <v>74</v>
      </c>
      <c r="AA507" t="s">
        <v>7262</v>
      </c>
      <c r="AB507" t="s">
        <v>7263</v>
      </c>
      <c r="AC507" t="s">
        <v>74</v>
      </c>
      <c r="AD507" t="s">
        <v>74</v>
      </c>
      <c r="AE507" t="s">
        <v>74</v>
      </c>
      <c r="AF507" t="s">
        <v>74</v>
      </c>
      <c r="AG507">
        <v>16</v>
      </c>
      <c r="AH507">
        <v>180</v>
      </c>
      <c r="AI507">
        <v>210</v>
      </c>
      <c r="AJ507">
        <v>2</v>
      </c>
      <c r="AK507">
        <v>30</v>
      </c>
      <c r="AL507" t="s">
        <v>7160</v>
      </c>
      <c r="AM507" t="s">
        <v>5426</v>
      </c>
      <c r="AN507" t="s">
        <v>7161</v>
      </c>
      <c r="AO507" t="s">
        <v>7162</v>
      </c>
      <c r="AP507" t="s">
        <v>74</v>
      </c>
      <c r="AQ507" t="s">
        <v>7163</v>
      </c>
      <c r="AR507" t="s">
        <v>7164</v>
      </c>
      <c r="AS507" t="s">
        <v>74</v>
      </c>
      <c r="AT507" t="s">
        <v>74</v>
      </c>
      <c r="AU507">
        <v>2002</v>
      </c>
      <c r="AV507">
        <v>34</v>
      </c>
      <c r="AW507" t="s">
        <v>74</v>
      </c>
      <c r="AX507" t="s">
        <v>74</v>
      </c>
      <c r="AY507" t="s">
        <v>74</v>
      </c>
      <c r="AZ507" t="s">
        <v>74</v>
      </c>
      <c r="BA507" t="s">
        <v>74</v>
      </c>
      <c r="BB507">
        <v>195</v>
      </c>
      <c r="BC507">
        <v>201</v>
      </c>
      <c r="BD507" t="s">
        <v>74</v>
      </c>
      <c r="BE507" t="s">
        <v>7264</v>
      </c>
      <c r="BF507" t="str">
        <f>HYPERLINK("http://dx.doi.org/10.3189/172756402781817978","http://dx.doi.org/10.3189/172756402781817978")</f>
        <v>http://dx.doi.org/10.3189/172756402781817978</v>
      </c>
      <c r="BG507" t="s">
        <v>74</v>
      </c>
      <c r="BH507" t="s">
        <v>74</v>
      </c>
      <c r="BI507">
        <v>7</v>
      </c>
      <c r="BJ507" t="s">
        <v>7166</v>
      </c>
      <c r="BK507" t="s">
        <v>744</v>
      </c>
      <c r="BL507" t="s">
        <v>7167</v>
      </c>
      <c r="BM507" t="s">
        <v>7168</v>
      </c>
      <c r="BN507" t="s">
        <v>74</v>
      </c>
      <c r="BO507" t="s">
        <v>173</v>
      </c>
      <c r="BP507" t="s">
        <v>74</v>
      </c>
      <c r="BQ507" t="s">
        <v>74</v>
      </c>
      <c r="BR507" t="s">
        <v>107</v>
      </c>
      <c r="BS507" t="s">
        <v>7265</v>
      </c>
      <c r="BT507" t="str">
        <f>HYPERLINK("https%3A%2F%2Fwww.webofscience.com%2Fwos%2Fwoscc%2Ffull-record%2FWOS:000177565100030","View Full Record in Web of Science")</f>
        <v>View Full Record in Web of Science</v>
      </c>
    </row>
    <row r="508" spans="1:72" x14ac:dyDescent="0.15">
      <c r="A508" t="s">
        <v>1051</v>
      </c>
      <c r="B508" t="s">
        <v>7266</v>
      </c>
      <c r="C508" t="s">
        <v>74</v>
      </c>
      <c r="D508" t="s">
        <v>7145</v>
      </c>
      <c r="E508" t="s">
        <v>74</v>
      </c>
      <c r="F508" t="s">
        <v>7266</v>
      </c>
      <c r="G508" t="s">
        <v>74</v>
      </c>
      <c r="H508" t="s">
        <v>74</v>
      </c>
      <c r="I508" t="s">
        <v>7267</v>
      </c>
      <c r="J508" t="s">
        <v>7147</v>
      </c>
      <c r="K508" t="s">
        <v>7148</v>
      </c>
      <c r="L508" t="s">
        <v>74</v>
      </c>
      <c r="M508" t="s">
        <v>77</v>
      </c>
      <c r="N508" t="s">
        <v>78</v>
      </c>
      <c r="O508" t="s">
        <v>7149</v>
      </c>
      <c r="P508" t="s">
        <v>7150</v>
      </c>
      <c r="Q508" t="s">
        <v>7151</v>
      </c>
      <c r="R508" t="s">
        <v>74</v>
      </c>
      <c r="S508" t="s">
        <v>7152</v>
      </c>
      <c r="T508" t="s">
        <v>74</v>
      </c>
      <c r="U508" t="s">
        <v>7268</v>
      </c>
      <c r="V508" t="s">
        <v>7269</v>
      </c>
      <c r="W508" t="s">
        <v>7270</v>
      </c>
      <c r="X508" t="s">
        <v>7271</v>
      </c>
      <c r="Y508" t="s">
        <v>7272</v>
      </c>
      <c r="Z508" t="s">
        <v>74</v>
      </c>
      <c r="AA508" t="s">
        <v>653</v>
      </c>
      <c r="AB508" t="s">
        <v>7273</v>
      </c>
      <c r="AC508" t="s">
        <v>74</v>
      </c>
      <c r="AD508" t="s">
        <v>74</v>
      </c>
      <c r="AE508" t="s">
        <v>74</v>
      </c>
      <c r="AF508" t="s">
        <v>74</v>
      </c>
      <c r="AG508">
        <v>28</v>
      </c>
      <c r="AH508">
        <v>35</v>
      </c>
      <c r="AI508">
        <v>35</v>
      </c>
      <c r="AJ508">
        <v>0</v>
      </c>
      <c r="AK508">
        <v>11</v>
      </c>
      <c r="AL508" t="s">
        <v>7160</v>
      </c>
      <c r="AM508" t="s">
        <v>5426</v>
      </c>
      <c r="AN508" t="s">
        <v>7161</v>
      </c>
      <c r="AO508" t="s">
        <v>7162</v>
      </c>
      <c r="AP508" t="s">
        <v>74</v>
      </c>
      <c r="AQ508" t="s">
        <v>7163</v>
      </c>
      <c r="AR508" t="s">
        <v>7164</v>
      </c>
      <c r="AS508" t="s">
        <v>74</v>
      </c>
      <c r="AT508" t="s">
        <v>74</v>
      </c>
      <c r="AU508">
        <v>2002</v>
      </c>
      <c r="AV508">
        <v>34</v>
      </c>
      <c r="AW508" t="s">
        <v>74</v>
      </c>
      <c r="AX508" t="s">
        <v>74</v>
      </c>
      <c r="AY508" t="s">
        <v>74</v>
      </c>
      <c r="AZ508" t="s">
        <v>74</v>
      </c>
      <c r="BA508" t="s">
        <v>74</v>
      </c>
      <c r="BB508">
        <v>202</v>
      </c>
      <c r="BC508">
        <v>208</v>
      </c>
      <c r="BD508" t="s">
        <v>74</v>
      </c>
      <c r="BE508" t="s">
        <v>7274</v>
      </c>
      <c r="BF508" t="str">
        <f>HYPERLINK("http://dx.doi.org/10.3189/172756402781818049","http://dx.doi.org/10.3189/172756402781818049")</f>
        <v>http://dx.doi.org/10.3189/172756402781818049</v>
      </c>
      <c r="BG508" t="s">
        <v>74</v>
      </c>
      <c r="BH508" t="s">
        <v>74</v>
      </c>
      <c r="BI508">
        <v>7</v>
      </c>
      <c r="BJ508" t="s">
        <v>7166</v>
      </c>
      <c r="BK508" t="s">
        <v>744</v>
      </c>
      <c r="BL508" t="s">
        <v>7167</v>
      </c>
      <c r="BM508" t="s">
        <v>7168</v>
      </c>
      <c r="BN508" t="s">
        <v>74</v>
      </c>
      <c r="BO508" t="s">
        <v>173</v>
      </c>
      <c r="BP508" t="s">
        <v>74</v>
      </c>
      <c r="BQ508" t="s">
        <v>74</v>
      </c>
      <c r="BR508" t="s">
        <v>107</v>
      </c>
      <c r="BS508" t="s">
        <v>7275</v>
      </c>
      <c r="BT508" t="str">
        <f>HYPERLINK("https%3A%2F%2Fwww.webofscience.com%2Fwos%2Fwoscc%2Ffull-record%2FWOS:000177565100031","View Full Record in Web of Science")</f>
        <v>View Full Record in Web of Science</v>
      </c>
    </row>
    <row r="509" spans="1:72" x14ac:dyDescent="0.15">
      <c r="A509" t="s">
        <v>1051</v>
      </c>
      <c r="B509" t="s">
        <v>7276</v>
      </c>
      <c r="C509" t="s">
        <v>74</v>
      </c>
      <c r="D509" t="s">
        <v>7145</v>
      </c>
      <c r="E509" t="s">
        <v>74</v>
      </c>
      <c r="F509" t="s">
        <v>7276</v>
      </c>
      <c r="G509" t="s">
        <v>74</v>
      </c>
      <c r="H509" t="s">
        <v>74</v>
      </c>
      <c r="I509" t="s">
        <v>7277</v>
      </c>
      <c r="J509" t="s">
        <v>7147</v>
      </c>
      <c r="K509" t="s">
        <v>7148</v>
      </c>
      <c r="L509" t="s">
        <v>74</v>
      </c>
      <c r="M509" t="s">
        <v>77</v>
      </c>
      <c r="N509" t="s">
        <v>78</v>
      </c>
      <c r="O509" t="s">
        <v>7149</v>
      </c>
      <c r="P509" t="s">
        <v>7150</v>
      </c>
      <c r="Q509" t="s">
        <v>7151</v>
      </c>
      <c r="R509" t="s">
        <v>74</v>
      </c>
      <c r="S509" t="s">
        <v>7152</v>
      </c>
      <c r="T509" t="s">
        <v>74</v>
      </c>
      <c r="U509" t="s">
        <v>7278</v>
      </c>
      <c r="V509" t="s">
        <v>7279</v>
      </c>
      <c r="W509" t="s">
        <v>7260</v>
      </c>
      <c r="X509" t="s">
        <v>7280</v>
      </c>
      <c r="Y509" t="s">
        <v>7272</v>
      </c>
      <c r="Z509" t="s">
        <v>74</v>
      </c>
      <c r="AA509" t="s">
        <v>653</v>
      </c>
      <c r="AB509" t="s">
        <v>654</v>
      </c>
      <c r="AC509" t="s">
        <v>74</v>
      </c>
      <c r="AD509" t="s">
        <v>74</v>
      </c>
      <c r="AE509" t="s">
        <v>74</v>
      </c>
      <c r="AF509" t="s">
        <v>74</v>
      </c>
      <c r="AG509">
        <v>32</v>
      </c>
      <c r="AH509">
        <v>84</v>
      </c>
      <c r="AI509">
        <v>96</v>
      </c>
      <c r="AJ509">
        <v>1</v>
      </c>
      <c r="AK509">
        <v>35</v>
      </c>
      <c r="AL509" t="s">
        <v>7160</v>
      </c>
      <c r="AM509" t="s">
        <v>5426</v>
      </c>
      <c r="AN509" t="s">
        <v>7161</v>
      </c>
      <c r="AO509" t="s">
        <v>7162</v>
      </c>
      <c r="AP509" t="s">
        <v>74</v>
      </c>
      <c r="AQ509" t="s">
        <v>7163</v>
      </c>
      <c r="AR509" t="s">
        <v>7164</v>
      </c>
      <c r="AS509" t="s">
        <v>74</v>
      </c>
      <c r="AT509" t="s">
        <v>74</v>
      </c>
      <c r="AU509">
        <v>2002</v>
      </c>
      <c r="AV509">
        <v>34</v>
      </c>
      <c r="AW509" t="s">
        <v>74</v>
      </c>
      <c r="AX509" t="s">
        <v>74</v>
      </c>
      <c r="AY509" t="s">
        <v>74</v>
      </c>
      <c r="AZ509" t="s">
        <v>74</v>
      </c>
      <c r="BA509" t="s">
        <v>74</v>
      </c>
      <c r="BB509">
        <v>217</v>
      </c>
      <c r="BC509">
        <v>227</v>
      </c>
      <c r="BD509" t="s">
        <v>74</v>
      </c>
      <c r="BE509" t="s">
        <v>7281</v>
      </c>
      <c r="BF509" t="str">
        <f>HYPERLINK("http://dx.doi.org/10.3189/172756402781817419","http://dx.doi.org/10.3189/172756402781817419")</f>
        <v>http://dx.doi.org/10.3189/172756402781817419</v>
      </c>
      <c r="BG509" t="s">
        <v>74</v>
      </c>
      <c r="BH509" t="s">
        <v>74</v>
      </c>
      <c r="BI509">
        <v>11</v>
      </c>
      <c r="BJ509" t="s">
        <v>7166</v>
      </c>
      <c r="BK509" t="s">
        <v>744</v>
      </c>
      <c r="BL509" t="s">
        <v>7167</v>
      </c>
      <c r="BM509" t="s">
        <v>7168</v>
      </c>
      <c r="BN509" t="s">
        <v>74</v>
      </c>
      <c r="BO509" t="s">
        <v>173</v>
      </c>
      <c r="BP509" t="s">
        <v>74</v>
      </c>
      <c r="BQ509" t="s">
        <v>74</v>
      </c>
      <c r="BR509" t="s">
        <v>107</v>
      </c>
      <c r="BS509" t="s">
        <v>7282</v>
      </c>
      <c r="BT509" t="str">
        <f>HYPERLINK("https%3A%2F%2Fwww.webofscience.com%2Fwos%2Fwoscc%2Ffull-record%2FWOS:000177565100033","View Full Record in Web of Science")</f>
        <v>View Full Record in Web of Science</v>
      </c>
    </row>
    <row r="510" spans="1:72" x14ac:dyDescent="0.15">
      <c r="A510" t="s">
        <v>1051</v>
      </c>
      <c r="B510" t="s">
        <v>7283</v>
      </c>
      <c r="C510" t="s">
        <v>74</v>
      </c>
      <c r="D510" t="s">
        <v>7145</v>
      </c>
      <c r="E510" t="s">
        <v>74</v>
      </c>
      <c r="F510" t="s">
        <v>7283</v>
      </c>
      <c r="G510" t="s">
        <v>74</v>
      </c>
      <c r="H510" t="s">
        <v>74</v>
      </c>
      <c r="I510" t="s">
        <v>7284</v>
      </c>
      <c r="J510" t="s">
        <v>7147</v>
      </c>
      <c r="K510" t="s">
        <v>7148</v>
      </c>
      <c r="L510" t="s">
        <v>74</v>
      </c>
      <c r="M510" t="s">
        <v>77</v>
      </c>
      <c r="N510" t="s">
        <v>78</v>
      </c>
      <c r="O510" t="s">
        <v>7149</v>
      </c>
      <c r="P510" t="s">
        <v>7150</v>
      </c>
      <c r="Q510" t="s">
        <v>7151</v>
      </c>
      <c r="R510" t="s">
        <v>74</v>
      </c>
      <c r="S510" t="s">
        <v>7152</v>
      </c>
      <c r="T510" t="s">
        <v>74</v>
      </c>
      <c r="U510" t="s">
        <v>7285</v>
      </c>
      <c r="V510" t="s">
        <v>7286</v>
      </c>
      <c r="W510" t="s">
        <v>7287</v>
      </c>
      <c r="X510" t="s">
        <v>1951</v>
      </c>
      <c r="Y510" t="s">
        <v>7288</v>
      </c>
      <c r="Z510" t="s">
        <v>74</v>
      </c>
      <c r="AA510" t="s">
        <v>74</v>
      </c>
      <c r="AB510" t="s">
        <v>7289</v>
      </c>
      <c r="AC510" t="s">
        <v>74</v>
      </c>
      <c r="AD510" t="s">
        <v>74</v>
      </c>
      <c r="AE510" t="s">
        <v>74</v>
      </c>
      <c r="AF510" t="s">
        <v>74</v>
      </c>
      <c r="AG510">
        <v>16</v>
      </c>
      <c r="AH510">
        <v>45</v>
      </c>
      <c r="AI510">
        <v>47</v>
      </c>
      <c r="AJ510">
        <v>0</v>
      </c>
      <c r="AK510">
        <v>15</v>
      </c>
      <c r="AL510" t="s">
        <v>7160</v>
      </c>
      <c r="AM510" t="s">
        <v>5426</v>
      </c>
      <c r="AN510" t="s">
        <v>7161</v>
      </c>
      <c r="AO510" t="s">
        <v>7162</v>
      </c>
      <c r="AP510" t="s">
        <v>74</v>
      </c>
      <c r="AQ510" t="s">
        <v>7163</v>
      </c>
      <c r="AR510" t="s">
        <v>7164</v>
      </c>
      <c r="AS510" t="s">
        <v>74</v>
      </c>
      <c r="AT510" t="s">
        <v>74</v>
      </c>
      <c r="AU510">
        <v>2002</v>
      </c>
      <c r="AV510">
        <v>34</v>
      </c>
      <c r="AW510" t="s">
        <v>74</v>
      </c>
      <c r="AX510" t="s">
        <v>74</v>
      </c>
      <c r="AY510" t="s">
        <v>74</v>
      </c>
      <c r="AZ510" t="s">
        <v>74</v>
      </c>
      <c r="BA510" t="s">
        <v>74</v>
      </c>
      <c r="BB510">
        <v>228</v>
      </c>
      <c r="BC510">
        <v>234</v>
      </c>
      <c r="BD510" t="s">
        <v>74</v>
      </c>
      <c r="BE510" t="s">
        <v>7290</v>
      </c>
      <c r="BF510" t="str">
        <f>HYPERLINK("http://dx.doi.org/10.3189/172756402781817842","http://dx.doi.org/10.3189/172756402781817842")</f>
        <v>http://dx.doi.org/10.3189/172756402781817842</v>
      </c>
      <c r="BG510" t="s">
        <v>74</v>
      </c>
      <c r="BH510" t="s">
        <v>74</v>
      </c>
      <c r="BI510">
        <v>7</v>
      </c>
      <c r="BJ510" t="s">
        <v>7166</v>
      </c>
      <c r="BK510" t="s">
        <v>744</v>
      </c>
      <c r="BL510" t="s">
        <v>7167</v>
      </c>
      <c r="BM510" t="s">
        <v>7168</v>
      </c>
      <c r="BN510" t="s">
        <v>74</v>
      </c>
      <c r="BO510" t="s">
        <v>173</v>
      </c>
      <c r="BP510" t="s">
        <v>74</v>
      </c>
      <c r="BQ510" t="s">
        <v>74</v>
      </c>
      <c r="BR510" t="s">
        <v>107</v>
      </c>
      <c r="BS510" t="s">
        <v>7291</v>
      </c>
      <c r="BT510" t="str">
        <f>HYPERLINK("https%3A%2F%2Fwww.webofscience.com%2Fwos%2Fwoscc%2Ffull-record%2FWOS:000177565100034","View Full Record in Web of Science")</f>
        <v>View Full Record in Web of Science</v>
      </c>
    </row>
    <row r="511" spans="1:72" x14ac:dyDescent="0.15">
      <c r="A511" t="s">
        <v>1051</v>
      </c>
      <c r="B511" t="s">
        <v>7292</v>
      </c>
      <c r="C511" t="s">
        <v>74</v>
      </c>
      <c r="D511" t="s">
        <v>7145</v>
      </c>
      <c r="E511" t="s">
        <v>74</v>
      </c>
      <c r="F511" t="s">
        <v>7292</v>
      </c>
      <c r="G511" t="s">
        <v>74</v>
      </c>
      <c r="H511" t="s">
        <v>74</v>
      </c>
      <c r="I511" t="s">
        <v>7293</v>
      </c>
      <c r="J511" t="s">
        <v>7147</v>
      </c>
      <c r="K511" t="s">
        <v>7172</v>
      </c>
      <c r="L511" t="s">
        <v>74</v>
      </c>
      <c r="M511" t="s">
        <v>77</v>
      </c>
      <c r="N511" t="s">
        <v>78</v>
      </c>
      <c r="O511" t="s">
        <v>7149</v>
      </c>
      <c r="P511" t="s">
        <v>7150</v>
      </c>
      <c r="Q511" t="s">
        <v>7173</v>
      </c>
      <c r="R511" t="s">
        <v>74</v>
      </c>
      <c r="S511" t="s">
        <v>7152</v>
      </c>
      <c r="T511" t="s">
        <v>74</v>
      </c>
      <c r="U511" t="s">
        <v>7294</v>
      </c>
      <c r="V511" t="s">
        <v>7295</v>
      </c>
      <c r="W511" t="s">
        <v>7296</v>
      </c>
      <c r="X511" t="s">
        <v>7297</v>
      </c>
      <c r="Y511" t="s">
        <v>617</v>
      </c>
      <c r="Z511" t="s">
        <v>74</v>
      </c>
      <c r="AA511" t="s">
        <v>7298</v>
      </c>
      <c r="AB511" t="s">
        <v>7299</v>
      </c>
      <c r="AC511" t="s">
        <v>74</v>
      </c>
      <c r="AD511" t="s">
        <v>74</v>
      </c>
      <c r="AE511" t="s">
        <v>74</v>
      </c>
      <c r="AF511" t="s">
        <v>74</v>
      </c>
      <c r="AG511">
        <v>26</v>
      </c>
      <c r="AH511">
        <v>73</v>
      </c>
      <c r="AI511">
        <v>84</v>
      </c>
      <c r="AJ511">
        <v>0</v>
      </c>
      <c r="AK511">
        <v>16</v>
      </c>
      <c r="AL511" t="s">
        <v>7160</v>
      </c>
      <c r="AM511" t="s">
        <v>5426</v>
      </c>
      <c r="AN511" t="s">
        <v>7161</v>
      </c>
      <c r="AO511" t="s">
        <v>7162</v>
      </c>
      <c r="AP511" t="s">
        <v>74</v>
      </c>
      <c r="AQ511" t="s">
        <v>7163</v>
      </c>
      <c r="AR511" t="s">
        <v>7181</v>
      </c>
      <c r="AS511" t="s">
        <v>74</v>
      </c>
      <c r="AT511" t="s">
        <v>74</v>
      </c>
      <c r="AU511">
        <v>2002</v>
      </c>
      <c r="AV511">
        <v>34</v>
      </c>
      <c r="AW511" t="s">
        <v>74</v>
      </c>
      <c r="AX511" t="s">
        <v>74</v>
      </c>
      <c r="AY511" t="s">
        <v>74</v>
      </c>
      <c r="AZ511" t="s">
        <v>74</v>
      </c>
      <c r="BA511" t="s">
        <v>74</v>
      </c>
      <c r="BB511">
        <v>241</v>
      </c>
      <c r="BC511">
        <v>246</v>
      </c>
      <c r="BD511" t="s">
        <v>74</v>
      </c>
      <c r="BE511" t="s">
        <v>7300</v>
      </c>
      <c r="BF511" t="str">
        <f>HYPERLINK("http://dx.doi.org/10.3189/172756402781817581","http://dx.doi.org/10.3189/172756402781817581")</f>
        <v>http://dx.doi.org/10.3189/172756402781817581</v>
      </c>
      <c r="BG511" t="s">
        <v>74</v>
      </c>
      <c r="BH511" t="s">
        <v>74</v>
      </c>
      <c r="BI511">
        <v>6</v>
      </c>
      <c r="BJ511" t="s">
        <v>7166</v>
      </c>
      <c r="BK511" t="s">
        <v>744</v>
      </c>
      <c r="BL511" t="s">
        <v>7167</v>
      </c>
      <c r="BM511" t="s">
        <v>7168</v>
      </c>
      <c r="BN511" t="s">
        <v>74</v>
      </c>
      <c r="BO511" t="s">
        <v>7301</v>
      </c>
      <c r="BP511" t="s">
        <v>74</v>
      </c>
      <c r="BQ511" t="s">
        <v>74</v>
      </c>
      <c r="BR511" t="s">
        <v>107</v>
      </c>
      <c r="BS511" t="s">
        <v>7302</v>
      </c>
      <c r="BT511" t="str">
        <f>HYPERLINK("https%3A%2F%2Fwww.webofscience.com%2Fwos%2Fwoscc%2Ffull-record%2FWOS:000177565100036","View Full Record in Web of Science")</f>
        <v>View Full Record in Web of Science</v>
      </c>
    </row>
    <row r="512" spans="1:72" x14ac:dyDescent="0.15">
      <c r="A512" t="s">
        <v>1051</v>
      </c>
      <c r="B512" t="s">
        <v>7303</v>
      </c>
      <c r="C512" t="s">
        <v>74</v>
      </c>
      <c r="D512" t="s">
        <v>7145</v>
      </c>
      <c r="E512" t="s">
        <v>74</v>
      </c>
      <c r="F512" t="s">
        <v>7303</v>
      </c>
      <c r="G512" t="s">
        <v>74</v>
      </c>
      <c r="H512" t="s">
        <v>74</v>
      </c>
      <c r="I512" t="s">
        <v>7304</v>
      </c>
      <c r="J512" t="s">
        <v>7147</v>
      </c>
      <c r="K512" t="s">
        <v>7172</v>
      </c>
      <c r="L512" t="s">
        <v>74</v>
      </c>
      <c r="M512" t="s">
        <v>77</v>
      </c>
      <c r="N512" t="s">
        <v>78</v>
      </c>
      <c r="O512" t="s">
        <v>7149</v>
      </c>
      <c r="P512" t="s">
        <v>7150</v>
      </c>
      <c r="Q512" t="s">
        <v>7173</v>
      </c>
      <c r="R512" t="s">
        <v>74</v>
      </c>
      <c r="S512" t="s">
        <v>7152</v>
      </c>
      <c r="T512" t="s">
        <v>74</v>
      </c>
      <c r="U512" t="s">
        <v>7305</v>
      </c>
      <c r="V512" t="s">
        <v>7306</v>
      </c>
      <c r="W512" t="s">
        <v>7307</v>
      </c>
      <c r="X512" t="s">
        <v>7308</v>
      </c>
      <c r="Y512" t="s">
        <v>7309</v>
      </c>
      <c r="Z512" t="s">
        <v>74</v>
      </c>
      <c r="AA512" t="s">
        <v>7310</v>
      </c>
      <c r="AB512" t="s">
        <v>7311</v>
      </c>
      <c r="AC512" t="s">
        <v>74</v>
      </c>
      <c r="AD512" t="s">
        <v>74</v>
      </c>
      <c r="AE512" t="s">
        <v>74</v>
      </c>
      <c r="AF512" t="s">
        <v>74</v>
      </c>
      <c r="AG512">
        <v>37</v>
      </c>
      <c r="AH512">
        <v>303</v>
      </c>
      <c r="AI512">
        <v>340</v>
      </c>
      <c r="AJ512">
        <v>0</v>
      </c>
      <c r="AK512">
        <v>32</v>
      </c>
      <c r="AL512" t="s">
        <v>7160</v>
      </c>
      <c r="AM512" t="s">
        <v>5426</v>
      </c>
      <c r="AN512" t="s">
        <v>7161</v>
      </c>
      <c r="AO512" t="s">
        <v>7162</v>
      </c>
      <c r="AP512" t="s">
        <v>74</v>
      </c>
      <c r="AQ512" t="s">
        <v>7163</v>
      </c>
      <c r="AR512" t="s">
        <v>7181</v>
      </c>
      <c r="AS512" t="s">
        <v>74</v>
      </c>
      <c r="AT512" t="s">
        <v>74</v>
      </c>
      <c r="AU512">
        <v>2002</v>
      </c>
      <c r="AV512">
        <v>34</v>
      </c>
      <c r="AW512" t="s">
        <v>74</v>
      </c>
      <c r="AX512" t="s">
        <v>74</v>
      </c>
      <c r="AY512" t="s">
        <v>74</v>
      </c>
      <c r="AZ512" t="s">
        <v>74</v>
      </c>
      <c r="BA512" t="s">
        <v>74</v>
      </c>
      <c r="BB512">
        <v>247</v>
      </c>
      <c r="BC512">
        <v>254</v>
      </c>
      <c r="BD512" t="s">
        <v>74</v>
      </c>
      <c r="BE512" t="s">
        <v>7312</v>
      </c>
      <c r="BF512" t="str">
        <f>HYPERLINK("http://dx.doi.org/10.3189/172756402781817752","http://dx.doi.org/10.3189/172756402781817752")</f>
        <v>http://dx.doi.org/10.3189/172756402781817752</v>
      </c>
      <c r="BG512" t="s">
        <v>74</v>
      </c>
      <c r="BH512" t="s">
        <v>74</v>
      </c>
      <c r="BI512">
        <v>8</v>
      </c>
      <c r="BJ512" t="s">
        <v>7166</v>
      </c>
      <c r="BK512" t="s">
        <v>744</v>
      </c>
      <c r="BL512" t="s">
        <v>7167</v>
      </c>
      <c r="BM512" t="s">
        <v>7168</v>
      </c>
      <c r="BN512" t="s">
        <v>74</v>
      </c>
      <c r="BO512" t="s">
        <v>7313</v>
      </c>
      <c r="BP512" t="s">
        <v>74</v>
      </c>
      <c r="BQ512" t="s">
        <v>74</v>
      </c>
      <c r="BR512" t="s">
        <v>107</v>
      </c>
      <c r="BS512" t="s">
        <v>7314</v>
      </c>
      <c r="BT512" t="str">
        <f>HYPERLINK("https%3A%2F%2Fwww.webofscience.com%2Fwos%2Fwoscc%2Ffull-record%2FWOS:000177565100037","View Full Record in Web of Science")</f>
        <v>View Full Record in Web of Science</v>
      </c>
    </row>
    <row r="513" spans="1:72" x14ac:dyDescent="0.15">
      <c r="A513" t="s">
        <v>1051</v>
      </c>
      <c r="B513" t="s">
        <v>7315</v>
      </c>
      <c r="C513" t="s">
        <v>74</v>
      </c>
      <c r="D513" t="s">
        <v>7145</v>
      </c>
      <c r="E513" t="s">
        <v>74</v>
      </c>
      <c r="F513" t="s">
        <v>7315</v>
      </c>
      <c r="G513" t="s">
        <v>74</v>
      </c>
      <c r="H513" t="s">
        <v>74</v>
      </c>
      <c r="I513" t="s">
        <v>7316</v>
      </c>
      <c r="J513" t="s">
        <v>7147</v>
      </c>
      <c r="K513" t="s">
        <v>7148</v>
      </c>
      <c r="L513" t="s">
        <v>74</v>
      </c>
      <c r="M513" t="s">
        <v>77</v>
      </c>
      <c r="N513" t="s">
        <v>78</v>
      </c>
      <c r="O513" t="s">
        <v>7149</v>
      </c>
      <c r="P513" t="s">
        <v>7150</v>
      </c>
      <c r="Q513" t="s">
        <v>7151</v>
      </c>
      <c r="R513" t="s">
        <v>74</v>
      </c>
      <c r="S513" t="s">
        <v>7152</v>
      </c>
      <c r="T513" t="s">
        <v>74</v>
      </c>
      <c r="U513" t="s">
        <v>7317</v>
      </c>
      <c r="V513" t="s">
        <v>7318</v>
      </c>
      <c r="W513" t="s">
        <v>7319</v>
      </c>
      <c r="X513" t="s">
        <v>7320</v>
      </c>
      <c r="Y513" t="s">
        <v>7321</v>
      </c>
      <c r="Z513" t="s">
        <v>74</v>
      </c>
      <c r="AA513" t="s">
        <v>74</v>
      </c>
      <c r="AB513" t="s">
        <v>74</v>
      </c>
      <c r="AC513" t="s">
        <v>74</v>
      </c>
      <c r="AD513" t="s">
        <v>74</v>
      </c>
      <c r="AE513" t="s">
        <v>74</v>
      </c>
      <c r="AF513" t="s">
        <v>74</v>
      </c>
      <c r="AG513">
        <v>35</v>
      </c>
      <c r="AH513">
        <v>12</v>
      </c>
      <c r="AI513">
        <v>13</v>
      </c>
      <c r="AJ513">
        <v>0</v>
      </c>
      <c r="AK513">
        <v>12</v>
      </c>
      <c r="AL513" t="s">
        <v>7160</v>
      </c>
      <c r="AM513" t="s">
        <v>5426</v>
      </c>
      <c r="AN513" t="s">
        <v>7161</v>
      </c>
      <c r="AO513" t="s">
        <v>7162</v>
      </c>
      <c r="AP513" t="s">
        <v>74</v>
      </c>
      <c r="AQ513" t="s">
        <v>7163</v>
      </c>
      <c r="AR513" t="s">
        <v>7164</v>
      </c>
      <c r="AS513" t="s">
        <v>74</v>
      </c>
      <c r="AT513" t="s">
        <v>74</v>
      </c>
      <c r="AU513">
        <v>2002</v>
      </c>
      <c r="AV513">
        <v>34</v>
      </c>
      <c r="AW513" t="s">
        <v>74</v>
      </c>
      <c r="AX513" t="s">
        <v>74</v>
      </c>
      <c r="AY513" t="s">
        <v>74</v>
      </c>
      <c r="AZ513" t="s">
        <v>74</v>
      </c>
      <c r="BA513" t="s">
        <v>74</v>
      </c>
      <c r="BB513">
        <v>255</v>
      </c>
      <c r="BC513">
        <v>262</v>
      </c>
      <c r="BD513" t="s">
        <v>74</v>
      </c>
      <c r="BE513" t="s">
        <v>7322</v>
      </c>
      <c r="BF513" t="str">
        <f>HYPERLINK("http://dx.doi.org/10.3189/172756402781817653","http://dx.doi.org/10.3189/172756402781817653")</f>
        <v>http://dx.doi.org/10.3189/172756402781817653</v>
      </c>
      <c r="BG513" t="s">
        <v>74</v>
      </c>
      <c r="BH513" t="s">
        <v>74</v>
      </c>
      <c r="BI513">
        <v>8</v>
      </c>
      <c r="BJ513" t="s">
        <v>7166</v>
      </c>
      <c r="BK513" t="s">
        <v>744</v>
      </c>
      <c r="BL513" t="s">
        <v>7167</v>
      </c>
      <c r="BM513" t="s">
        <v>7168</v>
      </c>
      <c r="BN513" t="s">
        <v>74</v>
      </c>
      <c r="BO513" t="s">
        <v>1767</v>
      </c>
      <c r="BP513" t="s">
        <v>74</v>
      </c>
      <c r="BQ513" t="s">
        <v>74</v>
      </c>
      <c r="BR513" t="s">
        <v>107</v>
      </c>
      <c r="BS513" t="s">
        <v>7323</v>
      </c>
      <c r="BT513" t="str">
        <f>HYPERLINK("https%3A%2F%2Fwww.webofscience.com%2Fwos%2Fwoscc%2Ffull-record%2FWOS:000177565100038","View Full Record in Web of Science")</f>
        <v>View Full Record in Web of Science</v>
      </c>
    </row>
    <row r="514" spans="1:72" x14ac:dyDescent="0.15">
      <c r="A514" t="s">
        <v>1051</v>
      </c>
      <c r="B514" t="s">
        <v>7324</v>
      </c>
      <c r="C514" t="s">
        <v>74</v>
      </c>
      <c r="D514" t="s">
        <v>7145</v>
      </c>
      <c r="E514" t="s">
        <v>74</v>
      </c>
      <c r="F514" t="s">
        <v>7324</v>
      </c>
      <c r="G514" t="s">
        <v>74</v>
      </c>
      <c r="H514" t="s">
        <v>74</v>
      </c>
      <c r="I514" t="s">
        <v>7325</v>
      </c>
      <c r="J514" t="s">
        <v>7147</v>
      </c>
      <c r="K514" t="s">
        <v>7148</v>
      </c>
      <c r="L514" t="s">
        <v>74</v>
      </c>
      <c r="M514" t="s">
        <v>77</v>
      </c>
      <c r="N514" t="s">
        <v>78</v>
      </c>
      <c r="O514" t="s">
        <v>7149</v>
      </c>
      <c r="P514" t="s">
        <v>7150</v>
      </c>
      <c r="Q514" t="s">
        <v>7151</v>
      </c>
      <c r="R514" t="s">
        <v>74</v>
      </c>
      <c r="S514" t="s">
        <v>7152</v>
      </c>
      <c r="T514" t="s">
        <v>74</v>
      </c>
      <c r="U514" t="s">
        <v>7326</v>
      </c>
      <c r="V514" t="s">
        <v>7327</v>
      </c>
      <c r="W514" t="s">
        <v>7328</v>
      </c>
      <c r="X514" t="s">
        <v>7329</v>
      </c>
      <c r="Y514" t="s">
        <v>7330</v>
      </c>
      <c r="Z514" t="s">
        <v>74</v>
      </c>
      <c r="AA514" t="s">
        <v>74</v>
      </c>
      <c r="AB514" t="s">
        <v>74</v>
      </c>
      <c r="AC514" t="s">
        <v>74</v>
      </c>
      <c r="AD514" t="s">
        <v>74</v>
      </c>
      <c r="AE514" t="s">
        <v>74</v>
      </c>
      <c r="AF514" t="s">
        <v>74</v>
      </c>
      <c r="AG514">
        <v>15</v>
      </c>
      <c r="AH514">
        <v>50</v>
      </c>
      <c r="AI514">
        <v>59</v>
      </c>
      <c r="AJ514">
        <v>1</v>
      </c>
      <c r="AK514">
        <v>10</v>
      </c>
      <c r="AL514" t="s">
        <v>7160</v>
      </c>
      <c r="AM514" t="s">
        <v>5426</v>
      </c>
      <c r="AN514" t="s">
        <v>7161</v>
      </c>
      <c r="AO514" t="s">
        <v>7162</v>
      </c>
      <c r="AP514" t="s">
        <v>74</v>
      </c>
      <c r="AQ514" t="s">
        <v>7163</v>
      </c>
      <c r="AR514" t="s">
        <v>7164</v>
      </c>
      <c r="AS514" t="s">
        <v>74</v>
      </c>
      <c r="AT514" t="s">
        <v>74</v>
      </c>
      <c r="AU514">
        <v>2002</v>
      </c>
      <c r="AV514">
        <v>34</v>
      </c>
      <c r="AW514" t="s">
        <v>74</v>
      </c>
      <c r="AX514" t="s">
        <v>74</v>
      </c>
      <c r="AY514" t="s">
        <v>74</v>
      </c>
      <c r="AZ514" t="s">
        <v>74</v>
      </c>
      <c r="BA514" t="s">
        <v>74</v>
      </c>
      <c r="BB514">
        <v>263</v>
      </c>
      <c r="BC514">
        <v>268</v>
      </c>
      <c r="BD514" t="s">
        <v>74</v>
      </c>
      <c r="BE514" t="s">
        <v>7331</v>
      </c>
      <c r="BF514" t="str">
        <f>HYPERLINK("http://dx.doi.org/10.3189/172756402781818030","http://dx.doi.org/10.3189/172756402781818030")</f>
        <v>http://dx.doi.org/10.3189/172756402781818030</v>
      </c>
      <c r="BG514" t="s">
        <v>74</v>
      </c>
      <c r="BH514" t="s">
        <v>74</v>
      </c>
      <c r="BI514">
        <v>6</v>
      </c>
      <c r="BJ514" t="s">
        <v>7166</v>
      </c>
      <c r="BK514" t="s">
        <v>744</v>
      </c>
      <c r="BL514" t="s">
        <v>7167</v>
      </c>
      <c r="BM514" t="s">
        <v>7168</v>
      </c>
      <c r="BN514" t="s">
        <v>74</v>
      </c>
      <c r="BO514" t="s">
        <v>173</v>
      </c>
      <c r="BP514" t="s">
        <v>74</v>
      </c>
      <c r="BQ514" t="s">
        <v>74</v>
      </c>
      <c r="BR514" t="s">
        <v>107</v>
      </c>
      <c r="BS514" t="s">
        <v>7332</v>
      </c>
      <c r="BT514" t="str">
        <f>HYPERLINK("https%3A%2F%2Fwww.webofscience.com%2Fwos%2Fwoscc%2Ffull-record%2FWOS:000177565100039","View Full Record in Web of Science")</f>
        <v>View Full Record in Web of Science</v>
      </c>
    </row>
    <row r="515" spans="1:72" x14ac:dyDescent="0.15">
      <c r="A515" t="s">
        <v>1051</v>
      </c>
      <c r="B515" t="s">
        <v>7333</v>
      </c>
      <c r="C515" t="s">
        <v>74</v>
      </c>
      <c r="D515" t="s">
        <v>7145</v>
      </c>
      <c r="E515" t="s">
        <v>74</v>
      </c>
      <c r="F515" t="s">
        <v>7333</v>
      </c>
      <c r="G515" t="s">
        <v>74</v>
      </c>
      <c r="H515" t="s">
        <v>74</v>
      </c>
      <c r="I515" t="s">
        <v>7334</v>
      </c>
      <c r="J515" t="s">
        <v>7147</v>
      </c>
      <c r="K515" t="s">
        <v>7148</v>
      </c>
      <c r="L515" t="s">
        <v>74</v>
      </c>
      <c r="M515" t="s">
        <v>77</v>
      </c>
      <c r="N515" t="s">
        <v>78</v>
      </c>
      <c r="O515" t="s">
        <v>7149</v>
      </c>
      <c r="P515" t="s">
        <v>7150</v>
      </c>
      <c r="Q515" t="s">
        <v>7151</v>
      </c>
      <c r="R515" t="s">
        <v>74</v>
      </c>
      <c r="S515" t="s">
        <v>7152</v>
      </c>
      <c r="T515" t="s">
        <v>74</v>
      </c>
      <c r="U515" t="s">
        <v>7335</v>
      </c>
      <c r="V515" t="s">
        <v>7336</v>
      </c>
      <c r="W515" t="s">
        <v>7337</v>
      </c>
      <c r="X515" t="s">
        <v>7338</v>
      </c>
      <c r="Y515" t="s">
        <v>7339</v>
      </c>
      <c r="Z515" t="s">
        <v>74</v>
      </c>
      <c r="AA515" t="s">
        <v>7340</v>
      </c>
      <c r="AB515" t="s">
        <v>7341</v>
      </c>
      <c r="AC515" t="s">
        <v>74</v>
      </c>
      <c r="AD515" t="s">
        <v>74</v>
      </c>
      <c r="AE515" t="s">
        <v>74</v>
      </c>
      <c r="AF515" t="s">
        <v>74</v>
      </c>
      <c r="AG515">
        <v>39</v>
      </c>
      <c r="AH515">
        <v>25</v>
      </c>
      <c r="AI515">
        <v>28</v>
      </c>
      <c r="AJ515">
        <v>0</v>
      </c>
      <c r="AK515">
        <v>6</v>
      </c>
      <c r="AL515" t="s">
        <v>7160</v>
      </c>
      <c r="AM515" t="s">
        <v>5426</v>
      </c>
      <c r="AN515" t="s">
        <v>7161</v>
      </c>
      <c r="AO515" t="s">
        <v>7162</v>
      </c>
      <c r="AP515" t="s">
        <v>74</v>
      </c>
      <c r="AQ515" t="s">
        <v>7163</v>
      </c>
      <c r="AR515" t="s">
        <v>7164</v>
      </c>
      <c r="AS515" t="s">
        <v>74</v>
      </c>
      <c r="AT515" t="s">
        <v>74</v>
      </c>
      <c r="AU515">
        <v>2002</v>
      </c>
      <c r="AV515">
        <v>34</v>
      </c>
      <c r="AW515" t="s">
        <v>74</v>
      </c>
      <c r="AX515" t="s">
        <v>74</v>
      </c>
      <c r="AY515" t="s">
        <v>74</v>
      </c>
      <c r="AZ515" t="s">
        <v>74</v>
      </c>
      <c r="BA515" t="s">
        <v>74</v>
      </c>
      <c r="BB515">
        <v>269</v>
      </c>
      <c r="BC515">
        <v>276</v>
      </c>
      <c r="BD515" t="s">
        <v>74</v>
      </c>
      <c r="BE515" t="s">
        <v>7342</v>
      </c>
      <c r="BF515" t="str">
        <f>HYPERLINK("http://dx.doi.org/10.3189/172756402781817879","http://dx.doi.org/10.3189/172756402781817879")</f>
        <v>http://dx.doi.org/10.3189/172756402781817879</v>
      </c>
      <c r="BG515" t="s">
        <v>74</v>
      </c>
      <c r="BH515" t="s">
        <v>74</v>
      </c>
      <c r="BI515">
        <v>8</v>
      </c>
      <c r="BJ515" t="s">
        <v>7166</v>
      </c>
      <c r="BK515" t="s">
        <v>744</v>
      </c>
      <c r="BL515" t="s">
        <v>7167</v>
      </c>
      <c r="BM515" t="s">
        <v>7168</v>
      </c>
      <c r="BN515" t="s">
        <v>74</v>
      </c>
      <c r="BO515" t="s">
        <v>173</v>
      </c>
      <c r="BP515" t="s">
        <v>74</v>
      </c>
      <c r="BQ515" t="s">
        <v>74</v>
      </c>
      <c r="BR515" t="s">
        <v>107</v>
      </c>
      <c r="BS515" t="s">
        <v>7343</v>
      </c>
      <c r="BT515" t="str">
        <f>HYPERLINK("https%3A%2F%2Fwww.webofscience.com%2Fwos%2Fwoscc%2Ffull-record%2FWOS:000177565100040","View Full Record in Web of Science")</f>
        <v>View Full Record in Web of Science</v>
      </c>
    </row>
    <row r="516" spans="1:72" x14ac:dyDescent="0.15">
      <c r="A516" t="s">
        <v>1051</v>
      </c>
      <c r="B516" t="s">
        <v>7344</v>
      </c>
      <c r="C516" t="s">
        <v>74</v>
      </c>
      <c r="D516" t="s">
        <v>7145</v>
      </c>
      <c r="E516" t="s">
        <v>74</v>
      </c>
      <c r="F516" t="s">
        <v>7344</v>
      </c>
      <c r="G516" t="s">
        <v>74</v>
      </c>
      <c r="H516" t="s">
        <v>74</v>
      </c>
      <c r="I516" t="s">
        <v>7345</v>
      </c>
      <c r="J516" t="s">
        <v>7147</v>
      </c>
      <c r="K516" t="s">
        <v>7172</v>
      </c>
      <c r="L516" t="s">
        <v>74</v>
      </c>
      <c r="M516" t="s">
        <v>77</v>
      </c>
      <c r="N516" t="s">
        <v>78</v>
      </c>
      <c r="O516" t="s">
        <v>7149</v>
      </c>
      <c r="P516" t="s">
        <v>7150</v>
      </c>
      <c r="Q516" t="s">
        <v>7173</v>
      </c>
      <c r="R516" t="s">
        <v>74</v>
      </c>
      <c r="S516" t="s">
        <v>7152</v>
      </c>
      <c r="T516" t="s">
        <v>74</v>
      </c>
      <c r="U516" t="s">
        <v>242</v>
      </c>
      <c r="V516" t="s">
        <v>7346</v>
      </c>
      <c r="W516" t="s">
        <v>7347</v>
      </c>
      <c r="X516" t="s">
        <v>7320</v>
      </c>
      <c r="Y516" t="s">
        <v>7348</v>
      </c>
      <c r="Z516" t="s">
        <v>74</v>
      </c>
      <c r="AA516" t="s">
        <v>74</v>
      </c>
      <c r="AB516" t="s">
        <v>74</v>
      </c>
      <c r="AC516" t="s">
        <v>74</v>
      </c>
      <c r="AD516" t="s">
        <v>74</v>
      </c>
      <c r="AE516" t="s">
        <v>74</v>
      </c>
      <c r="AF516" t="s">
        <v>74</v>
      </c>
      <c r="AG516">
        <v>12</v>
      </c>
      <c r="AH516">
        <v>28</v>
      </c>
      <c r="AI516">
        <v>30</v>
      </c>
      <c r="AJ516">
        <v>0</v>
      </c>
      <c r="AK516">
        <v>10</v>
      </c>
      <c r="AL516" t="s">
        <v>7160</v>
      </c>
      <c r="AM516" t="s">
        <v>5426</v>
      </c>
      <c r="AN516" t="s">
        <v>7161</v>
      </c>
      <c r="AO516" t="s">
        <v>7162</v>
      </c>
      <c r="AP516" t="s">
        <v>74</v>
      </c>
      <c r="AQ516" t="s">
        <v>7163</v>
      </c>
      <c r="AR516" t="s">
        <v>7181</v>
      </c>
      <c r="AS516" t="s">
        <v>74</v>
      </c>
      <c r="AT516" t="s">
        <v>74</v>
      </c>
      <c r="AU516">
        <v>2002</v>
      </c>
      <c r="AV516">
        <v>34</v>
      </c>
      <c r="AW516" t="s">
        <v>74</v>
      </c>
      <c r="AX516" t="s">
        <v>74</v>
      </c>
      <c r="AY516" t="s">
        <v>74</v>
      </c>
      <c r="AZ516" t="s">
        <v>74</v>
      </c>
      <c r="BA516" t="s">
        <v>74</v>
      </c>
      <c r="BB516">
        <v>299</v>
      </c>
      <c r="BC516">
        <v>302</v>
      </c>
      <c r="BD516" t="s">
        <v>74</v>
      </c>
      <c r="BE516" t="s">
        <v>7349</v>
      </c>
      <c r="BF516" t="str">
        <f>HYPERLINK("http://dx.doi.org/10.3189/172756402781817707","http://dx.doi.org/10.3189/172756402781817707")</f>
        <v>http://dx.doi.org/10.3189/172756402781817707</v>
      </c>
      <c r="BG516" t="s">
        <v>74</v>
      </c>
      <c r="BH516" t="s">
        <v>74</v>
      </c>
      <c r="BI516">
        <v>4</v>
      </c>
      <c r="BJ516" t="s">
        <v>7166</v>
      </c>
      <c r="BK516" t="s">
        <v>744</v>
      </c>
      <c r="BL516" t="s">
        <v>7167</v>
      </c>
      <c r="BM516" t="s">
        <v>7168</v>
      </c>
      <c r="BN516" t="s">
        <v>74</v>
      </c>
      <c r="BO516" t="s">
        <v>1767</v>
      </c>
      <c r="BP516" t="s">
        <v>74</v>
      </c>
      <c r="BQ516" t="s">
        <v>74</v>
      </c>
      <c r="BR516" t="s">
        <v>107</v>
      </c>
      <c r="BS516" t="s">
        <v>7350</v>
      </c>
      <c r="BT516" t="str">
        <f>HYPERLINK("https%3A%2F%2Fwww.webofscience.com%2Fwos%2Fwoscc%2Ffull-record%2FWOS:000177565100044","View Full Record in Web of Science")</f>
        <v>View Full Record in Web of Science</v>
      </c>
    </row>
    <row r="517" spans="1:72" x14ac:dyDescent="0.15">
      <c r="A517" t="s">
        <v>1051</v>
      </c>
      <c r="B517" t="s">
        <v>7351</v>
      </c>
      <c r="C517" t="s">
        <v>74</v>
      </c>
      <c r="D517" t="s">
        <v>7145</v>
      </c>
      <c r="E517" t="s">
        <v>74</v>
      </c>
      <c r="F517" t="s">
        <v>7351</v>
      </c>
      <c r="G517" t="s">
        <v>74</v>
      </c>
      <c r="H517" t="s">
        <v>74</v>
      </c>
      <c r="I517" t="s">
        <v>7352</v>
      </c>
      <c r="J517" t="s">
        <v>7147</v>
      </c>
      <c r="K517" t="s">
        <v>7172</v>
      </c>
      <c r="L517" t="s">
        <v>74</v>
      </c>
      <c r="M517" t="s">
        <v>77</v>
      </c>
      <c r="N517" t="s">
        <v>78</v>
      </c>
      <c r="O517" t="s">
        <v>7149</v>
      </c>
      <c r="P517" t="s">
        <v>7150</v>
      </c>
      <c r="Q517" t="s">
        <v>7173</v>
      </c>
      <c r="R517" t="s">
        <v>74</v>
      </c>
      <c r="S517" t="s">
        <v>7152</v>
      </c>
      <c r="T517" t="s">
        <v>74</v>
      </c>
      <c r="U517" t="s">
        <v>7353</v>
      </c>
      <c r="V517" t="s">
        <v>7354</v>
      </c>
      <c r="W517" t="s">
        <v>2769</v>
      </c>
      <c r="X517" t="s">
        <v>2770</v>
      </c>
      <c r="Y517" t="s">
        <v>7355</v>
      </c>
      <c r="Z517" t="s">
        <v>74</v>
      </c>
      <c r="AA517" t="s">
        <v>2773</v>
      </c>
      <c r="AB517" t="s">
        <v>2774</v>
      </c>
      <c r="AC517" t="s">
        <v>74</v>
      </c>
      <c r="AD517" t="s">
        <v>74</v>
      </c>
      <c r="AE517" t="s">
        <v>74</v>
      </c>
      <c r="AF517" t="s">
        <v>74</v>
      </c>
      <c r="AG517">
        <v>24</v>
      </c>
      <c r="AH517">
        <v>128</v>
      </c>
      <c r="AI517">
        <v>147</v>
      </c>
      <c r="AJ517">
        <v>0</v>
      </c>
      <c r="AK517">
        <v>15</v>
      </c>
      <c r="AL517" t="s">
        <v>7160</v>
      </c>
      <c r="AM517" t="s">
        <v>5426</v>
      </c>
      <c r="AN517" t="s">
        <v>7161</v>
      </c>
      <c r="AO517" t="s">
        <v>7162</v>
      </c>
      <c r="AP517" t="s">
        <v>74</v>
      </c>
      <c r="AQ517" t="s">
        <v>7163</v>
      </c>
      <c r="AR517" t="s">
        <v>7181</v>
      </c>
      <c r="AS517" t="s">
        <v>74</v>
      </c>
      <c r="AT517" t="s">
        <v>74</v>
      </c>
      <c r="AU517">
        <v>2002</v>
      </c>
      <c r="AV517">
        <v>34</v>
      </c>
      <c r="AW517" t="s">
        <v>74</v>
      </c>
      <c r="AX517" t="s">
        <v>74</v>
      </c>
      <c r="AY517" t="s">
        <v>74</v>
      </c>
      <c r="AZ517" t="s">
        <v>74</v>
      </c>
      <c r="BA517" t="s">
        <v>74</v>
      </c>
      <c r="BB517">
        <v>435</v>
      </c>
      <c r="BC517">
        <v>440</v>
      </c>
      <c r="BD517" t="s">
        <v>74</v>
      </c>
      <c r="BE517" t="s">
        <v>7356</v>
      </c>
      <c r="BF517" t="str">
        <f>HYPERLINK("http://dx.doi.org/10.3189/172756402781817482","http://dx.doi.org/10.3189/172756402781817482")</f>
        <v>http://dx.doi.org/10.3189/172756402781817482</v>
      </c>
      <c r="BG517" t="s">
        <v>74</v>
      </c>
      <c r="BH517" t="s">
        <v>74</v>
      </c>
      <c r="BI517">
        <v>6</v>
      </c>
      <c r="BJ517" t="s">
        <v>7166</v>
      </c>
      <c r="BK517" t="s">
        <v>744</v>
      </c>
      <c r="BL517" t="s">
        <v>7167</v>
      </c>
      <c r="BM517" t="s">
        <v>7168</v>
      </c>
      <c r="BN517" t="s">
        <v>74</v>
      </c>
      <c r="BO517" t="s">
        <v>1767</v>
      </c>
      <c r="BP517" t="s">
        <v>74</v>
      </c>
      <c r="BQ517" t="s">
        <v>74</v>
      </c>
      <c r="BR517" t="s">
        <v>107</v>
      </c>
      <c r="BS517" t="s">
        <v>7357</v>
      </c>
      <c r="BT517" t="str">
        <f>HYPERLINK("https%3A%2F%2Fwww.webofscience.com%2Fwos%2Fwoscc%2Ffull-record%2FWOS:000177565100065","View Full Record in Web of Science")</f>
        <v>View Full Record in Web of Science</v>
      </c>
    </row>
    <row r="518" spans="1:72" x14ac:dyDescent="0.15">
      <c r="A518" t="s">
        <v>1051</v>
      </c>
      <c r="B518" t="s">
        <v>7358</v>
      </c>
      <c r="C518" t="s">
        <v>74</v>
      </c>
      <c r="D518" t="s">
        <v>7359</v>
      </c>
      <c r="E518" t="s">
        <v>74</v>
      </c>
      <c r="F518" t="s">
        <v>7358</v>
      </c>
      <c r="G518" t="s">
        <v>74</v>
      </c>
      <c r="H518" t="s">
        <v>74</v>
      </c>
      <c r="I518" t="s">
        <v>7360</v>
      </c>
      <c r="J518" t="s">
        <v>7361</v>
      </c>
      <c r="K518" t="s">
        <v>7148</v>
      </c>
      <c r="L518" t="s">
        <v>74</v>
      </c>
      <c r="M518" t="s">
        <v>77</v>
      </c>
      <c r="N518" t="s">
        <v>78</v>
      </c>
      <c r="O518" t="s">
        <v>7362</v>
      </c>
      <c r="P518" t="s">
        <v>7363</v>
      </c>
      <c r="Q518" t="s">
        <v>7364</v>
      </c>
      <c r="R518" t="s">
        <v>74</v>
      </c>
      <c r="S518" t="s">
        <v>74</v>
      </c>
      <c r="T518" t="s">
        <v>74</v>
      </c>
      <c r="U518" t="s">
        <v>7365</v>
      </c>
      <c r="V518" t="s">
        <v>7366</v>
      </c>
      <c r="W518" t="s">
        <v>7367</v>
      </c>
      <c r="X518" t="s">
        <v>7368</v>
      </c>
      <c r="Y518" t="s">
        <v>7369</v>
      </c>
      <c r="Z518" t="s">
        <v>7370</v>
      </c>
      <c r="AA518" t="s">
        <v>74</v>
      </c>
      <c r="AB518" t="s">
        <v>74</v>
      </c>
      <c r="AC518" t="s">
        <v>74</v>
      </c>
      <c r="AD518" t="s">
        <v>74</v>
      </c>
      <c r="AE518" t="s">
        <v>74</v>
      </c>
      <c r="AF518" t="s">
        <v>74</v>
      </c>
      <c r="AG518">
        <v>44</v>
      </c>
      <c r="AH518">
        <v>32</v>
      </c>
      <c r="AI518">
        <v>36</v>
      </c>
      <c r="AJ518">
        <v>1</v>
      </c>
      <c r="AK518">
        <v>12</v>
      </c>
      <c r="AL518" t="s">
        <v>7160</v>
      </c>
      <c r="AM518" t="s">
        <v>5426</v>
      </c>
      <c r="AN518" t="s">
        <v>7161</v>
      </c>
      <c r="AO518" t="s">
        <v>7162</v>
      </c>
      <c r="AP518" t="s">
        <v>74</v>
      </c>
      <c r="AQ518" t="s">
        <v>7371</v>
      </c>
      <c r="AR518" t="s">
        <v>7164</v>
      </c>
      <c r="AS518" t="s">
        <v>74</v>
      </c>
      <c r="AT518" t="s">
        <v>74</v>
      </c>
      <c r="AU518">
        <v>2002</v>
      </c>
      <c r="AV518">
        <v>35</v>
      </c>
      <c r="AW518" t="s">
        <v>74</v>
      </c>
      <c r="AX518" t="s">
        <v>74</v>
      </c>
      <c r="AY518" t="s">
        <v>74</v>
      </c>
      <c r="AZ518" t="s">
        <v>74</v>
      </c>
      <c r="BA518" t="s">
        <v>74</v>
      </c>
      <c r="BB518">
        <v>19</v>
      </c>
      <c r="BC518">
        <v>24</v>
      </c>
      <c r="BD518" t="s">
        <v>74</v>
      </c>
      <c r="BE518" t="s">
        <v>7372</v>
      </c>
      <c r="BF518" t="str">
        <f>HYPERLINK("http://dx.doi.org/10.3189/172756402781817338","http://dx.doi.org/10.3189/172756402781817338")</f>
        <v>http://dx.doi.org/10.3189/172756402781817338</v>
      </c>
      <c r="BG518" t="s">
        <v>74</v>
      </c>
      <c r="BH518" t="s">
        <v>74</v>
      </c>
      <c r="BI518">
        <v>6</v>
      </c>
      <c r="BJ518" t="s">
        <v>608</v>
      </c>
      <c r="BK518" t="s">
        <v>744</v>
      </c>
      <c r="BL518" t="s">
        <v>439</v>
      </c>
      <c r="BM518" t="s">
        <v>7373</v>
      </c>
      <c r="BN518" t="s">
        <v>74</v>
      </c>
      <c r="BO518" t="s">
        <v>173</v>
      </c>
      <c r="BP518" t="s">
        <v>74</v>
      </c>
      <c r="BQ518" t="s">
        <v>74</v>
      </c>
      <c r="BR518" t="s">
        <v>107</v>
      </c>
      <c r="BS518" t="s">
        <v>7374</v>
      </c>
      <c r="BT518" t="str">
        <f>HYPERLINK("https%3A%2F%2Fwww.webofscience.com%2Fwos%2Fwoscc%2Ffull-record%2FWOS:000182023600004","View Full Record in Web of Science")</f>
        <v>View Full Record in Web of Science</v>
      </c>
    </row>
    <row r="519" spans="1:72" x14ac:dyDescent="0.15">
      <c r="A519" t="s">
        <v>1051</v>
      </c>
      <c r="B519" t="s">
        <v>7375</v>
      </c>
      <c r="C519" t="s">
        <v>74</v>
      </c>
      <c r="D519" t="s">
        <v>7359</v>
      </c>
      <c r="E519" t="s">
        <v>74</v>
      </c>
      <c r="F519" t="s">
        <v>7375</v>
      </c>
      <c r="G519" t="s">
        <v>74</v>
      </c>
      <c r="H519" t="s">
        <v>74</v>
      </c>
      <c r="I519" t="s">
        <v>7376</v>
      </c>
      <c r="J519" t="s">
        <v>7361</v>
      </c>
      <c r="K519" t="s">
        <v>7148</v>
      </c>
      <c r="L519" t="s">
        <v>74</v>
      </c>
      <c r="M519" t="s">
        <v>77</v>
      </c>
      <c r="N519" t="s">
        <v>78</v>
      </c>
      <c r="O519" t="s">
        <v>7362</v>
      </c>
      <c r="P519" t="s">
        <v>7363</v>
      </c>
      <c r="Q519" t="s">
        <v>7364</v>
      </c>
      <c r="R519" t="s">
        <v>74</v>
      </c>
      <c r="S519" t="s">
        <v>74</v>
      </c>
      <c r="T519" t="s">
        <v>74</v>
      </c>
      <c r="U519" t="s">
        <v>74</v>
      </c>
      <c r="V519" t="s">
        <v>7377</v>
      </c>
      <c r="W519" t="s">
        <v>7378</v>
      </c>
      <c r="X519" t="s">
        <v>7379</v>
      </c>
      <c r="Y519" t="s">
        <v>7380</v>
      </c>
      <c r="Z519" t="s">
        <v>7381</v>
      </c>
      <c r="AA519" t="s">
        <v>7382</v>
      </c>
      <c r="AB519" t="s">
        <v>7383</v>
      </c>
      <c r="AC519" t="s">
        <v>74</v>
      </c>
      <c r="AD519" t="s">
        <v>74</v>
      </c>
      <c r="AE519" t="s">
        <v>74</v>
      </c>
      <c r="AF519" t="s">
        <v>74</v>
      </c>
      <c r="AG519">
        <v>11</v>
      </c>
      <c r="AH519">
        <v>25</v>
      </c>
      <c r="AI519">
        <v>26</v>
      </c>
      <c r="AJ519">
        <v>0</v>
      </c>
      <c r="AK519">
        <v>4</v>
      </c>
      <c r="AL519" t="s">
        <v>7160</v>
      </c>
      <c r="AM519" t="s">
        <v>5426</v>
      </c>
      <c r="AN519" t="s">
        <v>7161</v>
      </c>
      <c r="AO519" t="s">
        <v>7162</v>
      </c>
      <c r="AP519" t="s">
        <v>74</v>
      </c>
      <c r="AQ519" t="s">
        <v>7371</v>
      </c>
      <c r="AR519" t="s">
        <v>7164</v>
      </c>
      <c r="AS519" t="s">
        <v>74</v>
      </c>
      <c r="AT519" t="s">
        <v>74</v>
      </c>
      <c r="AU519">
        <v>2002</v>
      </c>
      <c r="AV519">
        <v>35</v>
      </c>
      <c r="AW519" t="s">
        <v>74</v>
      </c>
      <c r="AX519" t="s">
        <v>74</v>
      </c>
      <c r="AY519" t="s">
        <v>74</v>
      </c>
      <c r="AZ519" t="s">
        <v>74</v>
      </c>
      <c r="BA519" t="s">
        <v>74</v>
      </c>
      <c r="BB519">
        <v>25</v>
      </c>
      <c r="BC519">
        <v>28</v>
      </c>
      <c r="BD519" t="s">
        <v>74</v>
      </c>
      <c r="BE519" t="s">
        <v>7384</v>
      </c>
      <c r="BF519" t="str">
        <f>HYPERLINK("http://dx.doi.org/10.3189/172756402781816645","http://dx.doi.org/10.3189/172756402781816645")</f>
        <v>http://dx.doi.org/10.3189/172756402781816645</v>
      </c>
      <c r="BG519" t="s">
        <v>74</v>
      </c>
      <c r="BH519" t="s">
        <v>74</v>
      </c>
      <c r="BI519">
        <v>4</v>
      </c>
      <c r="BJ519" t="s">
        <v>608</v>
      </c>
      <c r="BK519" t="s">
        <v>744</v>
      </c>
      <c r="BL519" t="s">
        <v>439</v>
      </c>
      <c r="BM519" t="s">
        <v>7373</v>
      </c>
      <c r="BN519" t="s">
        <v>74</v>
      </c>
      <c r="BO519" t="s">
        <v>173</v>
      </c>
      <c r="BP519" t="s">
        <v>74</v>
      </c>
      <c r="BQ519" t="s">
        <v>74</v>
      </c>
      <c r="BR519" t="s">
        <v>107</v>
      </c>
      <c r="BS519" t="s">
        <v>7385</v>
      </c>
      <c r="BT519" t="str">
        <f>HYPERLINK("https%3A%2F%2Fwww.webofscience.com%2Fwos%2Fwoscc%2Ffull-record%2FWOS:000182023600005","View Full Record in Web of Science")</f>
        <v>View Full Record in Web of Science</v>
      </c>
    </row>
    <row r="520" spans="1:72" x14ac:dyDescent="0.15">
      <c r="A520" t="s">
        <v>1051</v>
      </c>
      <c r="B520" t="s">
        <v>7386</v>
      </c>
      <c r="C520" t="s">
        <v>74</v>
      </c>
      <c r="D520" t="s">
        <v>7359</v>
      </c>
      <c r="E520" t="s">
        <v>74</v>
      </c>
      <c r="F520" t="s">
        <v>7386</v>
      </c>
      <c r="G520" t="s">
        <v>74</v>
      </c>
      <c r="H520" t="s">
        <v>74</v>
      </c>
      <c r="I520" t="s">
        <v>7387</v>
      </c>
      <c r="J520" t="s">
        <v>7361</v>
      </c>
      <c r="K520" t="s">
        <v>7148</v>
      </c>
      <c r="L520" t="s">
        <v>74</v>
      </c>
      <c r="M520" t="s">
        <v>77</v>
      </c>
      <c r="N520" t="s">
        <v>78</v>
      </c>
      <c r="O520" t="s">
        <v>7362</v>
      </c>
      <c r="P520" t="s">
        <v>7363</v>
      </c>
      <c r="Q520" t="s">
        <v>7364</v>
      </c>
      <c r="R520" t="s">
        <v>74</v>
      </c>
      <c r="S520" t="s">
        <v>74</v>
      </c>
      <c r="T520" t="s">
        <v>74</v>
      </c>
      <c r="U520" t="s">
        <v>7388</v>
      </c>
      <c r="V520" t="s">
        <v>7389</v>
      </c>
      <c r="W520" t="s">
        <v>7390</v>
      </c>
      <c r="X520" t="s">
        <v>7391</v>
      </c>
      <c r="Y520" t="s">
        <v>3355</v>
      </c>
      <c r="Z520" t="s">
        <v>7392</v>
      </c>
      <c r="AA520" t="s">
        <v>7393</v>
      </c>
      <c r="AB520" t="s">
        <v>7394</v>
      </c>
      <c r="AC520" t="s">
        <v>7395</v>
      </c>
      <c r="AD520" t="s">
        <v>1612</v>
      </c>
      <c r="AE520" t="s">
        <v>74</v>
      </c>
      <c r="AF520" t="s">
        <v>74</v>
      </c>
      <c r="AG520">
        <v>24</v>
      </c>
      <c r="AH520">
        <v>41</v>
      </c>
      <c r="AI520">
        <v>41</v>
      </c>
      <c r="AJ520">
        <v>0</v>
      </c>
      <c r="AK520">
        <v>13</v>
      </c>
      <c r="AL520" t="s">
        <v>7160</v>
      </c>
      <c r="AM520" t="s">
        <v>5426</v>
      </c>
      <c r="AN520" t="s">
        <v>7161</v>
      </c>
      <c r="AO520" t="s">
        <v>7162</v>
      </c>
      <c r="AP520" t="s">
        <v>74</v>
      </c>
      <c r="AQ520" t="s">
        <v>7371</v>
      </c>
      <c r="AR520" t="s">
        <v>7164</v>
      </c>
      <c r="AS520" t="s">
        <v>74</v>
      </c>
      <c r="AT520" t="s">
        <v>74</v>
      </c>
      <c r="AU520">
        <v>2002</v>
      </c>
      <c r="AV520">
        <v>35</v>
      </c>
      <c r="AW520" t="s">
        <v>74</v>
      </c>
      <c r="AX520" t="s">
        <v>74</v>
      </c>
      <c r="AY520" t="s">
        <v>74</v>
      </c>
      <c r="AZ520" t="s">
        <v>74</v>
      </c>
      <c r="BA520" t="s">
        <v>74</v>
      </c>
      <c r="BB520">
        <v>45</v>
      </c>
      <c r="BC520">
        <v>51</v>
      </c>
      <c r="BD520" t="s">
        <v>74</v>
      </c>
      <c r="BE520" t="s">
        <v>7396</v>
      </c>
      <c r="BF520" t="str">
        <f>HYPERLINK("http://dx.doi.org/10.3189/172756402781817176","http://dx.doi.org/10.3189/172756402781817176")</f>
        <v>http://dx.doi.org/10.3189/172756402781817176</v>
      </c>
      <c r="BG520" t="s">
        <v>74</v>
      </c>
      <c r="BH520" t="s">
        <v>74</v>
      </c>
      <c r="BI520">
        <v>7</v>
      </c>
      <c r="BJ520" t="s">
        <v>608</v>
      </c>
      <c r="BK520" t="s">
        <v>744</v>
      </c>
      <c r="BL520" t="s">
        <v>439</v>
      </c>
      <c r="BM520" t="s">
        <v>7373</v>
      </c>
      <c r="BN520" t="s">
        <v>74</v>
      </c>
      <c r="BO520" t="s">
        <v>173</v>
      </c>
      <c r="BP520" t="s">
        <v>74</v>
      </c>
      <c r="BQ520" t="s">
        <v>74</v>
      </c>
      <c r="BR520" t="s">
        <v>107</v>
      </c>
      <c r="BS520" t="s">
        <v>7397</v>
      </c>
      <c r="BT520" t="str">
        <f>HYPERLINK("https%3A%2F%2Fwww.webofscience.com%2Fwos%2Fwoscc%2Ffull-record%2FWOS:000182023600008","View Full Record in Web of Science")</f>
        <v>View Full Record in Web of Science</v>
      </c>
    </row>
    <row r="521" spans="1:72" x14ac:dyDescent="0.15">
      <c r="A521" t="s">
        <v>1051</v>
      </c>
      <c r="B521" t="s">
        <v>7398</v>
      </c>
      <c r="C521" t="s">
        <v>74</v>
      </c>
      <c r="D521" t="s">
        <v>7359</v>
      </c>
      <c r="E521" t="s">
        <v>74</v>
      </c>
      <c r="F521" t="s">
        <v>7398</v>
      </c>
      <c r="G521" t="s">
        <v>74</v>
      </c>
      <c r="H521" t="s">
        <v>74</v>
      </c>
      <c r="I521" t="s">
        <v>7399</v>
      </c>
      <c r="J521" t="s">
        <v>7361</v>
      </c>
      <c r="K521" t="s">
        <v>7148</v>
      </c>
      <c r="L521" t="s">
        <v>74</v>
      </c>
      <c r="M521" t="s">
        <v>77</v>
      </c>
      <c r="N521" t="s">
        <v>78</v>
      </c>
      <c r="O521" t="s">
        <v>7362</v>
      </c>
      <c r="P521" t="s">
        <v>7363</v>
      </c>
      <c r="Q521" t="s">
        <v>7364</v>
      </c>
      <c r="R521" t="s">
        <v>74</v>
      </c>
      <c r="S521" t="s">
        <v>74</v>
      </c>
      <c r="T521" t="s">
        <v>74</v>
      </c>
      <c r="U521" t="s">
        <v>7400</v>
      </c>
      <c r="V521" t="s">
        <v>7401</v>
      </c>
      <c r="W521" t="s">
        <v>7402</v>
      </c>
      <c r="X521" t="s">
        <v>1951</v>
      </c>
      <c r="Y521" t="s">
        <v>7403</v>
      </c>
      <c r="Z521" t="s">
        <v>7404</v>
      </c>
      <c r="AA521" t="s">
        <v>7405</v>
      </c>
      <c r="AB521" t="s">
        <v>7406</v>
      </c>
      <c r="AC521" t="s">
        <v>74</v>
      </c>
      <c r="AD521" t="s">
        <v>74</v>
      </c>
      <c r="AE521" t="s">
        <v>74</v>
      </c>
      <c r="AF521" t="s">
        <v>74</v>
      </c>
      <c r="AG521">
        <v>14</v>
      </c>
      <c r="AH521">
        <v>11</v>
      </c>
      <c r="AI521">
        <v>13</v>
      </c>
      <c r="AJ521">
        <v>0</v>
      </c>
      <c r="AK521">
        <v>4</v>
      </c>
      <c r="AL521" t="s">
        <v>7160</v>
      </c>
      <c r="AM521" t="s">
        <v>5426</v>
      </c>
      <c r="AN521" t="s">
        <v>7161</v>
      </c>
      <c r="AO521" t="s">
        <v>7162</v>
      </c>
      <c r="AP521" t="s">
        <v>74</v>
      </c>
      <c r="AQ521" t="s">
        <v>7371</v>
      </c>
      <c r="AR521" t="s">
        <v>7164</v>
      </c>
      <c r="AS521" t="s">
        <v>74</v>
      </c>
      <c r="AT521" t="s">
        <v>74</v>
      </c>
      <c r="AU521">
        <v>2002</v>
      </c>
      <c r="AV521">
        <v>35</v>
      </c>
      <c r="AW521" t="s">
        <v>74</v>
      </c>
      <c r="AX521" t="s">
        <v>74</v>
      </c>
      <c r="AY521" t="s">
        <v>74</v>
      </c>
      <c r="AZ521" t="s">
        <v>74</v>
      </c>
      <c r="BA521" t="s">
        <v>74</v>
      </c>
      <c r="BB521">
        <v>107</v>
      </c>
      <c r="BC521">
        <v>110</v>
      </c>
      <c r="BD521" t="s">
        <v>74</v>
      </c>
      <c r="BE521" t="s">
        <v>7407</v>
      </c>
      <c r="BF521" t="str">
        <f>HYPERLINK("http://dx.doi.org/10.3189/172756402781816898","http://dx.doi.org/10.3189/172756402781816898")</f>
        <v>http://dx.doi.org/10.3189/172756402781816898</v>
      </c>
      <c r="BG521" t="s">
        <v>74</v>
      </c>
      <c r="BH521" t="s">
        <v>74</v>
      </c>
      <c r="BI521">
        <v>4</v>
      </c>
      <c r="BJ521" t="s">
        <v>608</v>
      </c>
      <c r="BK521" t="s">
        <v>744</v>
      </c>
      <c r="BL521" t="s">
        <v>439</v>
      </c>
      <c r="BM521" t="s">
        <v>7373</v>
      </c>
      <c r="BN521" t="s">
        <v>74</v>
      </c>
      <c r="BO521" t="s">
        <v>173</v>
      </c>
      <c r="BP521" t="s">
        <v>74</v>
      </c>
      <c r="BQ521" t="s">
        <v>74</v>
      </c>
      <c r="BR521" t="s">
        <v>107</v>
      </c>
      <c r="BS521" t="s">
        <v>7408</v>
      </c>
      <c r="BT521" t="str">
        <f>HYPERLINK("https%3A%2F%2Fwww.webofscience.com%2Fwos%2Fwoscc%2Ffull-record%2FWOS:000182023600019","View Full Record in Web of Science")</f>
        <v>View Full Record in Web of Science</v>
      </c>
    </row>
    <row r="522" spans="1:72" x14ac:dyDescent="0.15">
      <c r="A522" t="s">
        <v>1051</v>
      </c>
      <c r="B522" t="s">
        <v>7409</v>
      </c>
      <c r="C522" t="s">
        <v>74</v>
      </c>
      <c r="D522" t="s">
        <v>7359</v>
      </c>
      <c r="E522" t="s">
        <v>74</v>
      </c>
      <c r="F522" t="s">
        <v>7409</v>
      </c>
      <c r="G522" t="s">
        <v>74</v>
      </c>
      <c r="H522" t="s">
        <v>74</v>
      </c>
      <c r="I522" t="s">
        <v>7410</v>
      </c>
      <c r="J522" t="s">
        <v>7361</v>
      </c>
      <c r="K522" t="s">
        <v>7148</v>
      </c>
      <c r="L522" t="s">
        <v>74</v>
      </c>
      <c r="M522" t="s">
        <v>77</v>
      </c>
      <c r="N522" t="s">
        <v>78</v>
      </c>
      <c r="O522" t="s">
        <v>7362</v>
      </c>
      <c r="P522" t="s">
        <v>7363</v>
      </c>
      <c r="Q522" t="s">
        <v>7364</v>
      </c>
      <c r="R522" t="s">
        <v>74</v>
      </c>
      <c r="S522" t="s">
        <v>74</v>
      </c>
      <c r="T522" t="s">
        <v>74</v>
      </c>
      <c r="U522" t="s">
        <v>7411</v>
      </c>
      <c r="V522" t="s">
        <v>7412</v>
      </c>
      <c r="W522" t="s">
        <v>7413</v>
      </c>
      <c r="X522" t="s">
        <v>1123</v>
      </c>
      <c r="Y522" t="s">
        <v>7414</v>
      </c>
      <c r="Z522" t="s">
        <v>7415</v>
      </c>
      <c r="AA522" t="s">
        <v>7416</v>
      </c>
      <c r="AB522" t="s">
        <v>7417</v>
      </c>
      <c r="AC522" t="s">
        <v>74</v>
      </c>
      <c r="AD522" t="s">
        <v>74</v>
      </c>
      <c r="AE522" t="s">
        <v>74</v>
      </c>
      <c r="AF522" t="s">
        <v>74</v>
      </c>
      <c r="AG522">
        <v>29</v>
      </c>
      <c r="AH522">
        <v>25</v>
      </c>
      <c r="AI522">
        <v>27</v>
      </c>
      <c r="AJ522">
        <v>1</v>
      </c>
      <c r="AK522">
        <v>6</v>
      </c>
      <c r="AL522" t="s">
        <v>7160</v>
      </c>
      <c r="AM522" t="s">
        <v>5426</v>
      </c>
      <c r="AN522" t="s">
        <v>7161</v>
      </c>
      <c r="AO522" t="s">
        <v>7162</v>
      </c>
      <c r="AP522" t="s">
        <v>74</v>
      </c>
      <c r="AQ522" t="s">
        <v>7371</v>
      </c>
      <c r="AR522" t="s">
        <v>7164</v>
      </c>
      <c r="AS522" t="s">
        <v>74</v>
      </c>
      <c r="AT522" t="s">
        <v>74</v>
      </c>
      <c r="AU522">
        <v>2002</v>
      </c>
      <c r="AV522">
        <v>35</v>
      </c>
      <c r="AW522" t="s">
        <v>74</v>
      </c>
      <c r="AX522" t="s">
        <v>74</v>
      </c>
      <c r="AY522" t="s">
        <v>74</v>
      </c>
      <c r="AZ522" t="s">
        <v>74</v>
      </c>
      <c r="BA522" t="s">
        <v>74</v>
      </c>
      <c r="BB522">
        <v>118</v>
      </c>
      <c r="BC522">
        <v>124</v>
      </c>
      <c r="BD522" t="s">
        <v>74</v>
      </c>
      <c r="BE522" t="s">
        <v>7418</v>
      </c>
      <c r="BF522" t="str">
        <f>HYPERLINK("http://dx.doi.org/10.3189/172756402781817004","http://dx.doi.org/10.3189/172756402781817004")</f>
        <v>http://dx.doi.org/10.3189/172756402781817004</v>
      </c>
      <c r="BG522" t="s">
        <v>74</v>
      </c>
      <c r="BH522" t="s">
        <v>74</v>
      </c>
      <c r="BI522">
        <v>7</v>
      </c>
      <c r="BJ522" t="s">
        <v>608</v>
      </c>
      <c r="BK522" t="s">
        <v>744</v>
      </c>
      <c r="BL522" t="s">
        <v>439</v>
      </c>
      <c r="BM522" t="s">
        <v>7373</v>
      </c>
      <c r="BN522" t="s">
        <v>74</v>
      </c>
      <c r="BO522" t="s">
        <v>173</v>
      </c>
      <c r="BP522" t="s">
        <v>74</v>
      </c>
      <c r="BQ522" t="s">
        <v>74</v>
      </c>
      <c r="BR522" t="s">
        <v>107</v>
      </c>
      <c r="BS522" t="s">
        <v>7419</v>
      </c>
      <c r="BT522" t="str">
        <f>HYPERLINK("https%3A%2F%2Fwww.webofscience.com%2Fwos%2Fwoscc%2Ffull-record%2FWOS:000182023600021","View Full Record in Web of Science")</f>
        <v>View Full Record in Web of Science</v>
      </c>
    </row>
    <row r="523" spans="1:72" x14ac:dyDescent="0.15">
      <c r="A523" t="s">
        <v>1051</v>
      </c>
      <c r="B523" t="s">
        <v>7420</v>
      </c>
      <c r="C523" t="s">
        <v>74</v>
      </c>
      <c r="D523" t="s">
        <v>7359</v>
      </c>
      <c r="E523" t="s">
        <v>74</v>
      </c>
      <c r="F523" t="s">
        <v>7420</v>
      </c>
      <c r="G523" t="s">
        <v>74</v>
      </c>
      <c r="H523" t="s">
        <v>74</v>
      </c>
      <c r="I523" t="s">
        <v>7421</v>
      </c>
      <c r="J523" t="s">
        <v>7361</v>
      </c>
      <c r="K523" t="s">
        <v>7148</v>
      </c>
      <c r="L523" t="s">
        <v>74</v>
      </c>
      <c r="M523" t="s">
        <v>77</v>
      </c>
      <c r="N523" t="s">
        <v>78</v>
      </c>
      <c r="O523" t="s">
        <v>7362</v>
      </c>
      <c r="P523" t="s">
        <v>7363</v>
      </c>
      <c r="Q523" t="s">
        <v>7364</v>
      </c>
      <c r="R523" t="s">
        <v>74</v>
      </c>
      <c r="S523" t="s">
        <v>74</v>
      </c>
      <c r="T523" t="s">
        <v>74</v>
      </c>
      <c r="U523" t="s">
        <v>7422</v>
      </c>
      <c r="V523" t="s">
        <v>7423</v>
      </c>
      <c r="W523" t="s">
        <v>7424</v>
      </c>
      <c r="X523" t="s">
        <v>7425</v>
      </c>
      <c r="Y523" t="s">
        <v>7426</v>
      </c>
      <c r="Z523" t="s">
        <v>7427</v>
      </c>
      <c r="AA523" t="s">
        <v>7428</v>
      </c>
      <c r="AB523" t="s">
        <v>7429</v>
      </c>
      <c r="AC523" t="s">
        <v>74</v>
      </c>
      <c r="AD523" t="s">
        <v>74</v>
      </c>
      <c r="AE523" t="s">
        <v>74</v>
      </c>
      <c r="AF523" t="s">
        <v>74</v>
      </c>
      <c r="AG523">
        <v>16</v>
      </c>
      <c r="AH523">
        <v>73</v>
      </c>
      <c r="AI523">
        <v>82</v>
      </c>
      <c r="AJ523">
        <v>3</v>
      </c>
      <c r="AK523">
        <v>22</v>
      </c>
      <c r="AL523" t="s">
        <v>7160</v>
      </c>
      <c r="AM523" t="s">
        <v>5426</v>
      </c>
      <c r="AN523" t="s">
        <v>7161</v>
      </c>
      <c r="AO523" t="s">
        <v>7162</v>
      </c>
      <c r="AP523" t="s">
        <v>74</v>
      </c>
      <c r="AQ523" t="s">
        <v>7371</v>
      </c>
      <c r="AR523" t="s">
        <v>7164</v>
      </c>
      <c r="AS523" t="s">
        <v>74</v>
      </c>
      <c r="AT523" t="s">
        <v>74</v>
      </c>
      <c r="AU523">
        <v>2002</v>
      </c>
      <c r="AV523">
        <v>35</v>
      </c>
      <c r="AW523" t="s">
        <v>74</v>
      </c>
      <c r="AX523" t="s">
        <v>74</v>
      </c>
      <c r="AY523" t="s">
        <v>74</v>
      </c>
      <c r="AZ523" t="s">
        <v>74</v>
      </c>
      <c r="BA523" t="s">
        <v>74</v>
      </c>
      <c r="BB523">
        <v>181</v>
      </c>
      <c r="BC523">
        <v>186</v>
      </c>
      <c r="BD523" t="s">
        <v>74</v>
      </c>
      <c r="BE523" t="s">
        <v>7430</v>
      </c>
      <c r="BF523" t="str">
        <f>HYPERLINK("http://dx.doi.org/10.3189/172756402781816726","http://dx.doi.org/10.3189/172756402781816726")</f>
        <v>http://dx.doi.org/10.3189/172756402781816726</v>
      </c>
      <c r="BG523" t="s">
        <v>74</v>
      </c>
      <c r="BH523" t="s">
        <v>74</v>
      </c>
      <c r="BI523">
        <v>6</v>
      </c>
      <c r="BJ523" t="s">
        <v>608</v>
      </c>
      <c r="BK523" t="s">
        <v>744</v>
      </c>
      <c r="BL523" t="s">
        <v>439</v>
      </c>
      <c r="BM523" t="s">
        <v>7373</v>
      </c>
      <c r="BN523" t="s">
        <v>74</v>
      </c>
      <c r="BO523" t="s">
        <v>1767</v>
      </c>
      <c r="BP523" t="s">
        <v>74</v>
      </c>
      <c r="BQ523" t="s">
        <v>74</v>
      </c>
      <c r="BR523" t="s">
        <v>107</v>
      </c>
      <c r="BS523" t="s">
        <v>7431</v>
      </c>
      <c r="BT523" t="str">
        <f>HYPERLINK("https%3A%2F%2Fwww.webofscience.com%2Fwos%2Fwoscc%2Ffull-record%2FWOS:000182023600031","View Full Record in Web of Science")</f>
        <v>View Full Record in Web of Science</v>
      </c>
    </row>
    <row r="524" spans="1:72" x14ac:dyDescent="0.15">
      <c r="A524" t="s">
        <v>1051</v>
      </c>
      <c r="B524" t="s">
        <v>7432</v>
      </c>
      <c r="C524" t="s">
        <v>74</v>
      </c>
      <c r="D524" t="s">
        <v>7359</v>
      </c>
      <c r="E524" t="s">
        <v>74</v>
      </c>
      <c r="F524" t="s">
        <v>7432</v>
      </c>
      <c r="G524" t="s">
        <v>74</v>
      </c>
      <c r="H524" t="s">
        <v>74</v>
      </c>
      <c r="I524" t="s">
        <v>7433</v>
      </c>
      <c r="J524" t="s">
        <v>7361</v>
      </c>
      <c r="K524" t="s">
        <v>7148</v>
      </c>
      <c r="L524" t="s">
        <v>74</v>
      </c>
      <c r="M524" t="s">
        <v>77</v>
      </c>
      <c r="N524" t="s">
        <v>78</v>
      </c>
      <c r="O524" t="s">
        <v>7362</v>
      </c>
      <c r="P524" t="s">
        <v>7363</v>
      </c>
      <c r="Q524" t="s">
        <v>7364</v>
      </c>
      <c r="R524" t="s">
        <v>74</v>
      </c>
      <c r="S524" t="s">
        <v>74</v>
      </c>
      <c r="T524" t="s">
        <v>74</v>
      </c>
      <c r="U524" t="s">
        <v>7434</v>
      </c>
      <c r="V524" t="s">
        <v>7435</v>
      </c>
      <c r="W524" t="s">
        <v>7436</v>
      </c>
      <c r="X524" t="s">
        <v>7437</v>
      </c>
      <c r="Y524" t="s">
        <v>7438</v>
      </c>
      <c r="Z524" t="s">
        <v>7439</v>
      </c>
      <c r="AA524" t="s">
        <v>7440</v>
      </c>
      <c r="AB524" t="s">
        <v>7441</v>
      </c>
      <c r="AC524" t="s">
        <v>74</v>
      </c>
      <c r="AD524" t="s">
        <v>74</v>
      </c>
      <c r="AE524" t="s">
        <v>74</v>
      </c>
      <c r="AF524" t="s">
        <v>74</v>
      </c>
      <c r="AG524">
        <v>49</v>
      </c>
      <c r="AH524">
        <v>41</v>
      </c>
      <c r="AI524">
        <v>43</v>
      </c>
      <c r="AJ524">
        <v>0</v>
      </c>
      <c r="AK524">
        <v>12</v>
      </c>
      <c r="AL524" t="s">
        <v>7160</v>
      </c>
      <c r="AM524" t="s">
        <v>5426</v>
      </c>
      <c r="AN524" t="s">
        <v>7161</v>
      </c>
      <c r="AO524" t="s">
        <v>7162</v>
      </c>
      <c r="AP524" t="s">
        <v>74</v>
      </c>
      <c r="AQ524" t="s">
        <v>7371</v>
      </c>
      <c r="AR524" t="s">
        <v>7164</v>
      </c>
      <c r="AS524" t="s">
        <v>74</v>
      </c>
      <c r="AT524" t="s">
        <v>74</v>
      </c>
      <c r="AU524">
        <v>2002</v>
      </c>
      <c r="AV524">
        <v>35</v>
      </c>
      <c r="AW524" t="s">
        <v>74</v>
      </c>
      <c r="AX524" t="s">
        <v>74</v>
      </c>
      <c r="AY524" t="s">
        <v>74</v>
      </c>
      <c r="AZ524" t="s">
        <v>74</v>
      </c>
      <c r="BA524" t="s">
        <v>74</v>
      </c>
      <c r="BB524">
        <v>187</v>
      </c>
      <c r="BC524">
        <v>194</v>
      </c>
      <c r="BD524" t="s">
        <v>74</v>
      </c>
      <c r="BE524" t="s">
        <v>7442</v>
      </c>
      <c r="BF524" t="str">
        <f>HYPERLINK("http://dx.doi.org/10.3189/172756402781817167","http://dx.doi.org/10.3189/172756402781817167")</f>
        <v>http://dx.doi.org/10.3189/172756402781817167</v>
      </c>
      <c r="BG524" t="s">
        <v>74</v>
      </c>
      <c r="BH524" t="s">
        <v>74</v>
      </c>
      <c r="BI524">
        <v>8</v>
      </c>
      <c r="BJ524" t="s">
        <v>608</v>
      </c>
      <c r="BK524" t="s">
        <v>744</v>
      </c>
      <c r="BL524" t="s">
        <v>439</v>
      </c>
      <c r="BM524" t="s">
        <v>7373</v>
      </c>
      <c r="BN524" t="s">
        <v>74</v>
      </c>
      <c r="BO524" t="s">
        <v>173</v>
      </c>
      <c r="BP524" t="s">
        <v>74</v>
      </c>
      <c r="BQ524" t="s">
        <v>74</v>
      </c>
      <c r="BR524" t="s">
        <v>107</v>
      </c>
      <c r="BS524" t="s">
        <v>7443</v>
      </c>
      <c r="BT524" t="str">
        <f>HYPERLINK("https%3A%2F%2Fwww.webofscience.com%2Fwos%2Fwoscc%2Ffull-record%2FWOS:000182023600032","View Full Record in Web of Science")</f>
        <v>View Full Record in Web of Science</v>
      </c>
    </row>
    <row r="525" spans="1:72" x14ac:dyDescent="0.15">
      <c r="A525" t="s">
        <v>1051</v>
      </c>
      <c r="B525" t="s">
        <v>7444</v>
      </c>
      <c r="C525" t="s">
        <v>74</v>
      </c>
      <c r="D525" t="s">
        <v>7359</v>
      </c>
      <c r="E525" t="s">
        <v>74</v>
      </c>
      <c r="F525" t="s">
        <v>7444</v>
      </c>
      <c r="G525" t="s">
        <v>74</v>
      </c>
      <c r="H525" t="s">
        <v>74</v>
      </c>
      <c r="I525" t="s">
        <v>7445</v>
      </c>
      <c r="J525" t="s">
        <v>7361</v>
      </c>
      <c r="K525" t="s">
        <v>7148</v>
      </c>
      <c r="L525" t="s">
        <v>74</v>
      </c>
      <c r="M525" t="s">
        <v>77</v>
      </c>
      <c r="N525" t="s">
        <v>78</v>
      </c>
      <c r="O525" t="s">
        <v>7362</v>
      </c>
      <c r="P525" t="s">
        <v>7363</v>
      </c>
      <c r="Q525" t="s">
        <v>7364</v>
      </c>
      <c r="R525" t="s">
        <v>74</v>
      </c>
      <c r="S525" t="s">
        <v>74</v>
      </c>
      <c r="T525" t="s">
        <v>74</v>
      </c>
      <c r="U525" t="s">
        <v>7446</v>
      </c>
      <c r="V525" t="s">
        <v>7447</v>
      </c>
      <c r="W525" t="s">
        <v>7448</v>
      </c>
      <c r="X525" t="s">
        <v>7449</v>
      </c>
      <c r="Y525" t="s">
        <v>7450</v>
      </c>
      <c r="Z525" t="s">
        <v>7451</v>
      </c>
      <c r="AA525" t="s">
        <v>7452</v>
      </c>
      <c r="AB525" t="s">
        <v>7453</v>
      </c>
      <c r="AC525" t="s">
        <v>7454</v>
      </c>
      <c r="AD525" t="s">
        <v>5343</v>
      </c>
      <c r="AE525" t="s">
        <v>74</v>
      </c>
      <c r="AF525" t="s">
        <v>74</v>
      </c>
      <c r="AG525">
        <v>25</v>
      </c>
      <c r="AH525">
        <v>50</v>
      </c>
      <c r="AI525">
        <v>54</v>
      </c>
      <c r="AJ525">
        <v>1</v>
      </c>
      <c r="AK525">
        <v>9</v>
      </c>
      <c r="AL525" t="s">
        <v>7160</v>
      </c>
      <c r="AM525" t="s">
        <v>5426</v>
      </c>
      <c r="AN525" t="s">
        <v>7161</v>
      </c>
      <c r="AO525" t="s">
        <v>7162</v>
      </c>
      <c r="AP525" t="s">
        <v>74</v>
      </c>
      <c r="AQ525" t="s">
        <v>7371</v>
      </c>
      <c r="AR525" t="s">
        <v>7164</v>
      </c>
      <c r="AS525" t="s">
        <v>74</v>
      </c>
      <c r="AT525" t="s">
        <v>74</v>
      </c>
      <c r="AU525">
        <v>2002</v>
      </c>
      <c r="AV525">
        <v>35</v>
      </c>
      <c r="AW525" t="s">
        <v>74</v>
      </c>
      <c r="AX525" t="s">
        <v>74</v>
      </c>
      <c r="AY525" t="s">
        <v>74</v>
      </c>
      <c r="AZ525" t="s">
        <v>74</v>
      </c>
      <c r="BA525" t="s">
        <v>74</v>
      </c>
      <c r="BB525">
        <v>195</v>
      </c>
      <c r="BC525">
        <v>201</v>
      </c>
      <c r="BD525" t="s">
        <v>74</v>
      </c>
      <c r="BE525" t="s">
        <v>7455</v>
      </c>
      <c r="BF525" t="str">
        <f>HYPERLINK("http://dx.doi.org/10.3189/172756402781816492","http://dx.doi.org/10.3189/172756402781816492")</f>
        <v>http://dx.doi.org/10.3189/172756402781816492</v>
      </c>
      <c r="BG525" t="s">
        <v>74</v>
      </c>
      <c r="BH525" t="s">
        <v>74</v>
      </c>
      <c r="BI525">
        <v>7</v>
      </c>
      <c r="BJ525" t="s">
        <v>608</v>
      </c>
      <c r="BK525" t="s">
        <v>744</v>
      </c>
      <c r="BL525" t="s">
        <v>439</v>
      </c>
      <c r="BM525" t="s">
        <v>7373</v>
      </c>
      <c r="BN525" t="s">
        <v>74</v>
      </c>
      <c r="BO525" t="s">
        <v>535</v>
      </c>
      <c r="BP525" t="s">
        <v>74</v>
      </c>
      <c r="BQ525" t="s">
        <v>74</v>
      </c>
      <c r="BR525" t="s">
        <v>107</v>
      </c>
      <c r="BS525" t="s">
        <v>7456</v>
      </c>
      <c r="BT525" t="str">
        <f>HYPERLINK("https%3A%2F%2Fwww.webofscience.com%2Fwos%2Fwoscc%2Ffull-record%2FWOS:000182023600033","View Full Record in Web of Science")</f>
        <v>View Full Record in Web of Science</v>
      </c>
    </row>
    <row r="526" spans="1:72" x14ac:dyDescent="0.15">
      <c r="A526" t="s">
        <v>1051</v>
      </c>
      <c r="B526" t="s">
        <v>7457</v>
      </c>
      <c r="C526" t="s">
        <v>74</v>
      </c>
      <c r="D526" t="s">
        <v>7359</v>
      </c>
      <c r="E526" t="s">
        <v>74</v>
      </c>
      <c r="F526" t="s">
        <v>7457</v>
      </c>
      <c r="G526" t="s">
        <v>74</v>
      </c>
      <c r="H526" t="s">
        <v>74</v>
      </c>
      <c r="I526" t="s">
        <v>7458</v>
      </c>
      <c r="J526" t="s">
        <v>7361</v>
      </c>
      <c r="K526" t="s">
        <v>7148</v>
      </c>
      <c r="L526" t="s">
        <v>74</v>
      </c>
      <c r="M526" t="s">
        <v>77</v>
      </c>
      <c r="N526" t="s">
        <v>78</v>
      </c>
      <c r="O526" t="s">
        <v>7362</v>
      </c>
      <c r="P526" t="s">
        <v>7363</v>
      </c>
      <c r="Q526" t="s">
        <v>7364</v>
      </c>
      <c r="R526" t="s">
        <v>74</v>
      </c>
      <c r="S526" t="s">
        <v>74</v>
      </c>
      <c r="T526" t="s">
        <v>74</v>
      </c>
      <c r="U526" t="s">
        <v>7459</v>
      </c>
      <c r="V526" t="s">
        <v>7460</v>
      </c>
      <c r="W526" t="s">
        <v>5324</v>
      </c>
      <c r="X526" t="s">
        <v>5325</v>
      </c>
      <c r="Y526" t="s">
        <v>7461</v>
      </c>
      <c r="Z526" t="s">
        <v>7462</v>
      </c>
      <c r="AA526" t="s">
        <v>7463</v>
      </c>
      <c r="AB526" t="s">
        <v>74</v>
      </c>
      <c r="AC526" t="s">
        <v>74</v>
      </c>
      <c r="AD526" t="s">
        <v>74</v>
      </c>
      <c r="AE526" t="s">
        <v>74</v>
      </c>
      <c r="AF526" t="s">
        <v>74</v>
      </c>
      <c r="AG526">
        <v>43</v>
      </c>
      <c r="AH526">
        <v>24</v>
      </c>
      <c r="AI526">
        <v>29</v>
      </c>
      <c r="AJ526">
        <v>2</v>
      </c>
      <c r="AK526">
        <v>20</v>
      </c>
      <c r="AL526" t="s">
        <v>7160</v>
      </c>
      <c r="AM526" t="s">
        <v>5426</v>
      </c>
      <c r="AN526" t="s">
        <v>7161</v>
      </c>
      <c r="AO526" t="s">
        <v>7162</v>
      </c>
      <c r="AP526" t="s">
        <v>74</v>
      </c>
      <c r="AQ526" t="s">
        <v>7371</v>
      </c>
      <c r="AR526" t="s">
        <v>7164</v>
      </c>
      <c r="AS526" t="s">
        <v>74</v>
      </c>
      <c r="AT526" t="s">
        <v>74</v>
      </c>
      <c r="AU526">
        <v>2002</v>
      </c>
      <c r="AV526">
        <v>35</v>
      </c>
      <c r="AW526" t="s">
        <v>74</v>
      </c>
      <c r="AX526" t="s">
        <v>74</v>
      </c>
      <c r="AY526" t="s">
        <v>74</v>
      </c>
      <c r="AZ526" t="s">
        <v>74</v>
      </c>
      <c r="BA526" t="s">
        <v>74</v>
      </c>
      <c r="BB526">
        <v>202</v>
      </c>
      <c r="BC526">
        <v>208</v>
      </c>
      <c r="BD526" t="s">
        <v>74</v>
      </c>
      <c r="BE526" t="s">
        <v>7464</v>
      </c>
      <c r="BF526" t="str">
        <f>HYPERLINK("http://dx.doi.org/10.3189/172756402781816861","http://dx.doi.org/10.3189/172756402781816861")</f>
        <v>http://dx.doi.org/10.3189/172756402781816861</v>
      </c>
      <c r="BG526" t="s">
        <v>74</v>
      </c>
      <c r="BH526" t="s">
        <v>74</v>
      </c>
      <c r="BI526">
        <v>7</v>
      </c>
      <c r="BJ526" t="s">
        <v>608</v>
      </c>
      <c r="BK526" t="s">
        <v>744</v>
      </c>
      <c r="BL526" t="s">
        <v>439</v>
      </c>
      <c r="BM526" t="s">
        <v>7373</v>
      </c>
      <c r="BN526" t="s">
        <v>74</v>
      </c>
      <c r="BO526" t="s">
        <v>173</v>
      </c>
      <c r="BP526" t="s">
        <v>74</v>
      </c>
      <c r="BQ526" t="s">
        <v>74</v>
      </c>
      <c r="BR526" t="s">
        <v>107</v>
      </c>
      <c r="BS526" t="s">
        <v>7465</v>
      </c>
      <c r="BT526" t="str">
        <f>HYPERLINK("https%3A%2F%2Fwww.webofscience.com%2Fwos%2Fwoscc%2Ffull-record%2FWOS:000182023600034","View Full Record in Web of Science")</f>
        <v>View Full Record in Web of Science</v>
      </c>
    </row>
    <row r="527" spans="1:72" x14ac:dyDescent="0.15">
      <c r="A527" t="s">
        <v>1051</v>
      </c>
      <c r="B527" t="s">
        <v>7466</v>
      </c>
      <c r="C527" t="s">
        <v>74</v>
      </c>
      <c r="D527" t="s">
        <v>7359</v>
      </c>
      <c r="E527" t="s">
        <v>74</v>
      </c>
      <c r="F527" t="s">
        <v>7466</v>
      </c>
      <c r="G527" t="s">
        <v>74</v>
      </c>
      <c r="H527" t="s">
        <v>74</v>
      </c>
      <c r="I527" t="s">
        <v>7467</v>
      </c>
      <c r="J527" t="s">
        <v>7361</v>
      </c>
      <c r="K527" t="s">
        <v>7148</v>
      </c>
      <c r="L527" t="s">
        <v>74</v>
      </c>
      <c r="M527" t="s">
        <v>77</v>
      </c>
      <c r="N527" t="s">
        <v>78</v>
      </c>
      <c r="O527" t="s">
        <v>7362</v>
      </c>
      <c r="P527" t="s">
        <v>7363</v>
      </c>
      <c r="Q527" t="s">
        <v>7364</v>
      </c>
      <c r="R527" t="s">
        <v>74</v>
      </c>
      <c r="S527" t="s">
        <v>74</v>
      </c>
      <c r="T527" t="s">
        <v>74</v>
      </c>
      <c r="U527" t="s">
        <v>7468</v>
      </c>
      <c r="V527" t="s">
        <v>7469</v>
      </c>
      <c r="W527" t="s">
        <v>7470</v>
      </c>
      <c r="X527" t="s">
        <v>7471</v>
      </c>
      <c r="Y527" t="s">
        <v>74</v>
      </c>
      <c r="Z527" t="s">
        <v>7472</v>
      </c>
      <c r="AA527" t="s">
        <v>7473</v>
      </c>
      <c r="AB527" t="s">
        <v>7474</v>
      </c>
      <c r="AC527" t="s">
        <v>7395</v>
      </c>
      <c r="AD527" t="s">
        <v>1612</v>
      </c>
      <c r="AE527" t="s">
        <v>74</v>
      </c>
      <c r="AF527" t="s">
        <v>74</v>
      </c>
      <c r="AG527">
        <v>35</v>
      </c>
      <c r="AH527">
        <v>106</v>
      </c>
      <c r="AI527">
        <v>119</v>
      </c>
      <c r="AJ527">
        <v>1</v>
      </c>
      <c r="AK527">
        <v>23</v>
      </c>
      <c r="AL527" t="s">
        <v>7160</v>
      </c>
      <c r="AM527" t="s">
        <v>5426</v>
      </c>
      <c r="AN527" t="s">
        <v>7161</v>
      </c>
      <c r="AO527" t="s">
        <v>7162</v>
      </c>
      <c r="AP527" t="s">
        <v>74</v>
      </c>
      <c r="AQ527" t="s">
        <v>7371</v>
      </c>
      <c r="AR527" t="s">
        <v>7164</v>
      </c>
      <c r="AS527" t="s">
        <v>74</v>
      </c>
      <c r="AT527" t="s">
        <v>74</v>
      </c>
      <c r="AU527">
        <v>2002</v>
      </c>
      <c r="AV527">
        <v>35</v>
      </c>
      <c r="AW527" t="s">
        <v>74</v>
      </c>
      <c r="AX527" t="s">
        <v>74</v>
      </c>
      <c r="AY527" t="s">
        <v>74</v>
      </c>
      <c r="AZ527" t="s">
        <v>74</v>
      </c>
      <c r="BA527" t="s">
        <v>74</v>
      </c>
      <c r="BB527">
        <v>209</v>
      </c>
      <c r="BC527">
        <v>216</v>
      </c>
      <c r="BD527" t="s">
        <v>74</v>
      </c>
      <c r="BE527" t="s">
        <v>7475</v>
      </c>
      <c r="BF527" t="str">
        <f>HYPERLINK("http://dx.doi.org/10.3189/172756402781817220","http://dx.doi.org/10.3189/172756402781817220")</f>
        <v>http://dx.doi.org/10.3189/172756402781817220</v>
      </c>
      <c r="BG527" t="s">
        <v>74</v>
      </c>
      <c r="BH527" t="s">
        <v>74</v>
      </c>
      <c r="BI527">
        <v>8</v>
      </c>
      <c r="BJ527" t="s">
        <v>608</v>
      </c>
      <c r="BK527" t="s">
        <v>744</v>
      </c>
      <c r="BL527" t="s">
        <v>439</v>
      </c>
      <c r="BM527" t="s">
        <v>7373</v>
      </c>
      <c r="BN527" t="s">
        <v>74</v>
      </c>
      <c r="BO527" t="s">
        <v>7476</v>
      </c>
      <c r="BP527" t="s">
        <v>74</v>
      </c>
      <c r="BQ527" t="s">
        <v>74</v>
      </c>
      <c r="BR527" t="s">
        <v>107</v>
      </c>
      <c r="BS527" t="s">
        <v>7477</v>
      </c>
      <c r="BT527" t="str">
        <f>HYPERLINK("https%3A%2F%2Fwww.webofscience.com%2Fwos%2Fwoscc%2Ffull-record%2FWOS:000182023600035","View Full Record in Web of Science")</f>
        <v>View Full Record in Web of Science</v>
      </c>
    </row>
    <row r="528" spans="1:72" x14ac:dyDescent="0.15">
      <c r="A528" t="s">
        <v>1051</v>
      </c>
      <c r="B528" t="s">
        <v>7478</v>
      </c>
      <c r="C528" t="s">
        <v>74</v>
      </c>
      <c r="D528" t="s">
        <v>7359</v>
      </c>
      <c r="E528" t="s">
        <v>74</v>
      </c>
      <c r="F528" t="s">
        <v>7478</v>
      </c>
      <c r="G528" t="s">
        <v>74</v>
      </c>
      <c r="H528" t="s">
        <v>74</v>
      </c>
      <c r="I528" t="s">
        <v>7479</v>
      </c>
      <c r="J528" t="s">
        <v>7361</v>
      </c>
      <c r="K528" t="s">
        <v>7148</v>
      </c>
      <c r="L528" t="s">
        <v>74</v>
      </c>
      <c r="M528" t="s">
        <v>77</v>
      </c>
      <c r="N528" t="s">
        <v>78</v>
      </c>
      <c r="O528" t="s">
        <v>7362</v>
      </c>
      <c r="P528" t="s">
        <v>7363</v>
      </c>
      <c r="Q528" t="s">
        <v>7364</v>
      </c>
      <c r="R528" t="s">
        <v>74</v>
      </c>
      <c r="S528" t="s">
        <v>74</v>
      </c>
      <c r="T528" t="s">
        <v>74</v>
      </c>
      <c r="U528" t="s">
        <v>7480</v>
      </c>
      <c r="V528" t="s">
        <v>7481</v>
      </c>
      <c r="W528" t="s">
        <v>7482</v>
      </c>
      <c r="X528" t="s">
        <v>1623</v>
      </c>
      <c r="Y528" t="s">
        <v>7483</v>
      </c>
      <c r="Z528" t="s">
        <v>7484</v>
      </c>
      <c r="AA528" t="s">
        <v>74</v>
      </c>
      <c r="AB528" t="s">
        <v>74</v>
      </c>
      <c r="AC528" t="s">
        <v>74</v>
      </c>
      <c r="AD528" t="s">
        <v>74</v>
      </c>
      <c r="AE528" t="s">
        <v>74</v>
      </c>
      <c r="AF528" t="s">
        <v>74</v>
      </c>
      <c r="AG528">
        <v>57</v>
      </c>
      <c r="AH528">
        <v>9</v>
      </c>
      <c r="AI528">
        <v>11</v>
      </c>
      <c r="AJ528">
        <v>0</v>
      </c>
      <c r="AK528">
        <v>7</v>
      </c>
      <c r="AL528" t="s">
        <v>7160</v>
      </c>
      <c r="AM528" t="s">
        <v>5426</v>
      </c>
      <c r="AN528" t="s">
        <v>7161</v>
      </c>
      <c r="AO528" t="s">
        <v>7162</v>
      </c>
      <c r="AP528" t="s">
        <v>74</v>
      </c>
      <c r="AQ528" t="s">
        <v>7371</v>
      </c>
      <c r="AR528" t="s">
        <v>7164</v>
      </c>
      <c r="AS528" t="s">
        <v>74</v>
      </c>
      <c r="AT528" t="s">
        <v>74</v>
      </c>
      <c r="AU528">
        <v>2002</v>
      </c>
      <c r="AV528">
        <v>35</v>
      </c>
      <c r="AW528" t="s">
        <v>74</v>
      </c>
      <c r="AX528" t="s">
        <v>74</v>
      </c>
      <c r="AY528" t="s">
        <v>74</v>
      </c>
      <c r="AZ528" t="s">
        <v>74</v>
      </c>
      <c r="BA528" t="s">
        <v>74</v>
      </c>
      <c r="BB528">
        <v>217</v>
      </c>
      <c r="BC528">
        <v>223</v>
      </c>
      <c r="BD528" t="s">
        <v>74</v>
      </c>
      <c r="BE528" t="s">
        <v>7485</v>
      </c>
      <c r="BF528" t="str">
        <f>HYPERLINK("http://dx.doi.org/10.3189/172756402781816807","http://dx.doi.org/10.3189/172756402781816807")</f>
        <v>http://dx.doi.org/10.3189/172756402781816807</v>
      </c>
      <c r="BG528" t="s">
        <v>74</v>
      </c>
      <c r="BH528" t="s">
        <v>74</v>
      </c>
      <c r="BI528">
        <v>7</v>
      </c>
      <c r="BJ528" t="s">
        <v>608</v>
      </c>
      <c r="BK528" t="s">
        <v>744</v>
      </c>
      <c r="BL528" t="s">
        <v>439</v>
      </c>
      <c r="BM528" t="s">
        <v>7373</v>
      </c>
      <c r="BN528" t="s">
        <v>74</v>
      </c>
      <c r="BO528" t="s">
        <v>173</v>
      </c>
      <c r="BP528" t="s">
        <v>74</v>
      </c>
      <c r="BQ528" t="s">
        <v>74</v>
      </c>
      <c r="BR528" t="s">
        <v>107</v>
      </c>
      <c r="BS528" t="s">
        <v>7486</v>
      </c>
      <c r="BT528" t="str">
        <f>HYPERLINK("https%3A%2F%2Fwww.webofscience.com%2Fwos%2Fwoscc%2Ffull-record%2FWOS:000182023600036","View Full Record in Web of Science")</f>
        <v>View Full Record in Web of Science</v>
      </c>
    </row>
    <row r="529" spans="1:72" x14ac:dyDescent="0.15">
      <c r="A529" t="s">
        <v>1051</v>
      </c>
      <c r="B529" t="s">
        <v>7487</v>
      </c>
      <c r="C529" t="s">
        <v>74</v>
      </c>
      <c r="D529" t="s">
        <v>7359</v>
      </c>
      <c r="E529" t="s">
        <v>74</v>
      </c>
      <c r="F529" t="s">
        <v>7487</v>
      </c>
      <c r="G529" t="s">
        <v>74</v>
      </c>
      <c r="H529" t="s">
        <v>74</v>
      </c>
      <c r="I529" t="s">
        <v>7488</v>
      </c>
      <c r="J529" t="s">
        <v>7361</v>
      </c>
      <c r="K529" t="s">
        <v>7148</v>
      </c>
      <c r="L529" t="s">
        <v>74</v>
      </c>
      <c r="M529" t="s">
        <v>77</v>
      </c>
      <c r="N529" t="s">
        <v>78</v>
      </c>
      <c r="O529" t="s">
        <v>7362</v>
      </c>
      <c r="P529" t="s">
        <v>7363</v>
      </c>
      <c r="Q529" t="s">
        <v>7364</v>
      </c>
      <c r="R529" t="s">
        <v>74</v>
      </c>
      <c r="S529" t="s">
        <v>74</v>
      </c>
      <c r="T529" t="s">
        <v>74</v>
      </c>
      <c r="U529" t="s">
        <v>7489</v>
      </c>
      <c r="V529" t="s">
        <v>7490</v>
      </c>
      <c r="W529" t="s">
        <v>1737</v>
      </c>
      <c r="X529" t="s">
        <v>1738</v>
      </c>
      <c r="Y529" t="s">
        <v>1739</v>
      </c>
      <c r="Z529" t="s">
        <v>7491</v>
      </c>
      <c r="AA529" t="s">
        <v>74</v>
      </c>
      <c r="AB529" t="s">
        <v>74</v>
      </c>
      <c r="AC529" t="s">
        <v>74</v>
      </c>
      <c r="AD529" t="s">
        <v>74</v>
      </c>
      <c r="AE529" t="s">
        <v>74</v>
      </c>
      <c r="AF529" t="s">
        <v>74</v>
      </c>
      <c r="AG529">
        <v>30</v>
      </c>
      <c r="AH529">
        <v>19</v>
      </c>
      <c r="AI529">
        <v>20</v>
      </c>
      <c r="AJ529">
        <v>1</v>
      </c>
      <c r="AK529">
        <v>6</v>
      </c>
      <c r="AL529" t="s">
        <v>7160</v>
      </c>
      <c r="AM529" t="s">
        <v>5426</v>
      </c>
      <c r="AN529" t="s">
        <v>7161</v>
      </c>
      <c r="AO529" t="s">
        <v>7162</v>
      </c>
      <c r="AP529" t="s">
        <v>74</v>
      </c>
      <c r="AQ529" t="s">
        <v>7371</v>
      </c>
      <c r="AR529" t="s">
        <v>7164</v>
      </c>
      <c r="AS529" t="s">
        <v>74</v>
      </c>
      <c r="AT529" t="s">
        <v>74</v>
      </c>
      <c r="AU529">
        <v>2002</v>
      </c>
      <c r="AV529">
        <v>35</v>
      </c>
      <c r="AW529" t="s">
        <v>74</v>
      </c>
      <c r="AX529" t="s">
        <v>74</v>
      </c>
      <c r="AY529" t="s">
        <v>74</v>
      </c>
      <c r="AZ529" t="s">
        <v>74</v>
      </c>
      <c r="BA529" t="s">
        <v>74</v>
      </c>
      <c r="BB529">
        <v>224</v>
      </c>
      <c r="BC529">
        <v>230</v>
      </c>
      <c r="BD529" t="s">
        <v>74</v>
      </c>
      <c r="BE529" t="s">
        <v>7492</v>
      </c>
      <c r="BF529" t="str">
        <f>HYPERLINK("http://dx.doi.org/10.3189/172756402781816627","http://dx.doi.org/10.3189/172756402781816627")</f>
        <v>http://dx.doi.org/10.3189/172756402781816627</v>
      </c>
      <c r="BG529" t="s">
        <v>74</v>
      </c>
      <c r="BH529" t="s">
        <v>74</v>
      </c>
      <c r="BI529">
        <v>7</v>
      </c>
      <c r="BJ529" t="s">
        <v>608</v>
      </c>
      <c r="BK529" t="s">
        <v>744</v>
      </c>
      <c r="BL529" t="s">
        <v>439</v>
      </c>
      <c r="BM529" t="s">
        <v>7373</v>
      </c>
      <c r="BN529" t="s">
        <v>74</v>
      </c>
      <c r="BO529" t="s">
        <v>173</v>
      </c>
      <c r="BP529" t="s">
        <v>74</v>
      </c>
      <c r="BQ529" t="s">
        <v>74</v>
      </c>
      <c r="BR529" t="s">
        <v>107</v>
      </c>
      <c r="BS529" t="s">
        <v>7493</v>
      </c>
      <c r="BT529" t="str">
        <f>HYPERLINK("https%3A%2F%2Fwww.webofscience.com%2Fwos%2Fwoscc%2Ffull-record%2FWOS:000182023600037","View Full Record in Web of Science")</f>
        <v>View Full Record in Web of Science</v>
      </c>
    </row>
    <row r="530" spans="1:72" x14ac:dyDescent="0.15">
      <c r="A530" t="s">
        <v>1051</v>
      </c>
      <c r="B530" t="s">
        <v>7494</v>
      </c>
      <c r="C530" t="s">
        <v>74</v>
      </c>
      <c r="D530" t="s">
        <v>7359</v>
      </c>
      <c r="E530" t="s">
        <v>74</v>
      </c>
      <c r="F530" t="s">
        <v>7494</v>
      </c>
      <c r="G530" t="s">
        <v>74</v>
      </c>
      <c r="H530" t="s">
        <v>74</v>
      </c>
      <c r="I530" t="s">
        <v>7495</v>
      </c>
      <c r="J530" t="s">
        <v>7361</v>
      </c>
      <c r="K530" t="s">
        <v>7148</v>
      </c>
      <c r="L530" t="s">
        <v>74</v>
      </c>
      <c r="M530" t="s">
        <v>77</v>
      </c>
      <c r="N530" t="s">
        <v>78</v>
      </c>
      <c r="O530" t="s">
        <v>7362</v>
      </c>
      <c r="P530" t="s">
        <v>7363</v>
      </c>
      <c r="Q530" t="s">
        <v>7364</v>
      </c>
      <c r="R530" t="s">
        <v>74</v>
      </c>
      <c r="S530" t="s">
        <v>74</v>
      </c>
      <c r="T530" t="s">
        <v>74</v>
      </c>
      <c r="U530" t="s">
        <v>7496</v>
      </c>
      <c r="V530" t="s">
        <v>7497</v>
      </c>
      <c r="W530" t="s">
        <v>7498</v>
      </c>
      <c r="X530" t="s">
        <v>7499</v>
      </c>
      <c r="Y530" t="s">
        <v>7500</v>
      </c>
      <c r="Z530" t="s">
        <v>7501</v>
      </c>
      <c r="AA530" t="s">
        <v>7502</v>
      </c>
      <c r="AB530" t="s">
        <v>7503</v>
      </c>
      <c r="AC530" t="s">
        <v>7454</v>
      </c>
      <c r="AD530" t="s">
        <v>5343</v>
      </c>
      <c r="AE530" t="s">
        <v>74</v>
      </c>
      <c r="AF530" t="s">
        <v>74</v>
      </c>
      <c r="AG530">
        <v>38</v>
      </c>
      <c r="AH530">
        <v>27</v>
      </c>
      <c r="AI530">
        <v>28</v>
      </c>
      <c r="AJ530">
        <v>0</v>
      </c>
      <c r="AK530">
        <v>5</v>
      </c>
      <c r="AL530" t="s">
        <v>7160</v>
      </c>
      <c r="AM530" t="s">
        <v>5426</v>
      </c>
      <c r="AN530" t="s">
        <v>7161</v>
      </c>
      <c r="AO530" t="s">
        <v>7162</v>
      </c>
      <c r="AP530" t="s">
        <v>74</v>
      </c>
      <c r="AQ530" t="s">
        <v>7371</v>
      </c>
      <c r="AR530" t="s">
        <v>7164</v>
      </c>
      <c r="AS530" t="s">
        <v>74</v>
      </c>
      <c r="AT530" t="s">
        <v>74</v>
      </c>
      <c r="AU530">
        <v>2002</v>
      </c>
      <c r="AV530">
        <v>35</v>
      </c>
      <c r="AW530" t="s">
        <v>74</v>
      </c>
      <c r="AX530" t="s">
        <v>74</v>
      </c>
      <c r="AY530" t="s">
        <v>74</v>
      </c>
      <c r="AZ530" t="s">
        <v>74</v>
      </c>
      <c r="BA530" t="s">
        <v>74</v>
      </c>
      <c r="BB530">
        <v>261</v>
      </c>
      <c r="BC530">
        <v>265</v>
      </c>
      <c r="BD530" t="s">
        <v>74</v>
      </c>
      <c r="BE530" t="s">
        <v>7504</v>
      </c>
      <c r="BF530" t="str">
        <f>HYPERLINK("http://dx.doi.org/10.3189/172756402781817121","http://dx.doi.org/10.3189/172756402781817121")</f>
        <v>http://dx.doi.org/10.3189/172756402781817121</v>
      </c>
      <c r="BG530" t="s">
        <v>74</v>
      </c>
      <c r="BH530" t="s">
        <v>74</v>
      </c>
      <c r="BI530">
        <v>5</v>
      </c>
      <c r="BJ530" t="s">
        <v>608</v>
      </c>
      <c r="BK530" t="s">
        <v>744</v>
      </c>
      <c r="BL530" t="s">
        <v>439</v>
      </c>
      <c r="BM530" t="s">
        <v>7373</v>
      </c>
      <c r="BN530" t="s">
        <v>74</v>
      </c>
      <c r="BO530" t="s">
        <v>535</v>
      </c>
      <c r="BP530" t="s">
        <v>74</v>
      </c>
      <c r="BQ530" t="s">
        <v>74</v>
      </c>
      <c r="BR530" t="s">
        <v>107</v>
      </c>
      <c r="BS530" t="s">
        <v>7505</v>
      </c>
      <c r="BT530" t="str">
        <f>HYPERLINK("https%3A%2F%2Fwww.webofscience.com%2Fwos%2Fwoscc%2Ffull-record%2FWOS:000182023600043","View Full Record in Web of Science")</f>
        <v>View Full Record in Web of Science</v>
      </c>
    </row>
    <row r="531" spans="1:72" x14ac:dyDescent="0.15">
      <c r="A531" t="s">
        <v>1051</v>
      </c>
      <c r="B531" t="s">
        <v>7506</v>
      </c>
      <c r="C531" t="s">
        <v>74</v>
      </c>
      <c r="D531" t="s">
        <v>7359</v>
      </c>
      <c r="E531" t="s">
        <v>74</v>
      </c>
      <c r="F531" t="s">
        <v>7506</v>
      </c>
      <c r="G531" t="s">
        <v>74</v>
      </c>
      <c r="H531" t="s">
        <v>74</v>
      </c>
      <c r="I531" t="s">
        <v>7507</v>
      </c>
      <c r="J531" t="s">
        <v>7361</v>
      </c>
      <c r="K531" t="s">
        <v>7148</v>
      </c>
      <c r="L531" t="s">
        <v>74</v>
      </c>
      <c r="M531" t="s">
        <v>77</v>
      </c>
      <c r="N531" t="s">
        <v>78</v>
      </c>
      <c r="O531" t="s">
        <v>7362</v>
      </c>
      <c r="P531" t="s">
        <v>7363</v>
      </c>
      <c r="Q531" t="s">
        <v>7364</v>
      </c>
      <c r="R531" t="s">
        <v>74</v>
      </c>
      <c r="S531" t="s">
        <v>74</v>
      </c>
      <c r="T531" t="s">
        <v>74</v>
      </c>
      <c r="U531" t="s">
        <v>7508</v>
      </c>
      <c r="V531" t="s">
        <v>7509</v>
      </c>
      <c r="W531" t="s">
        <v>7510</v>
      </c>
      <c r="X531" t="s">
        <v>7511</v>
      </c>
      <c r="Y531" t="s">
        <v>7512</v>
      </c>
      <c r="Z531" t="s">
        <v>7513</v>
      </c>
      <c r="AA531" t="s">
        <v>7514</v>
      </c>
      <c r="AB531" t="s">
        <v>7515</v>
      </c>
      <c r="AC531" t="s">
        <v>74</v>
      </c>
      <c r="AD531" t="s">
        <v>74</v>
      </c>
      <c r="AE531" t="s">
        <v>74</v>
      </c>
      <c r="AF531" t="s">
        <v>74</v>
      </c>
      <c r="AG531">
        <v>40</v>
      </c>
      <c r="AH531">
        <v>29</v>
      </c>
      <c r="AI531">
        <v>32</v>
      </c>
      <c r="AJ531">
        <v>0</v>
      </c>
      <c r="AK531">
        <v>8</v>
      </c>
      <c r="AL531" t="s">
        <v>7160</v>
      </c>
      <c r="AM531" t="s">
        <v>5426</v>
      </c>
      <c r="AN531" t="s">
        <v>7161</v>
      </c>
      <c r="AO531" t="s">
        <v>7162</v>
      </c>
      <c r="AP531" t="s">
        <v>74</v>
      </c>
      <c r="AQ531" t="s">
        <v>7371</v>
      </c>
      <c r="AR531" t="s">
        <v>7164</v>
      </c>
      <c r="AS531" t="s">
        <v>74</v>
      </c>
      <c r="AT531" t="s">
        <v>74</v>
      </c>
      <c r="AU531">
        <v>2002</v>
      </c>
      <c r="AV531">
        <v>35</v>
      </c>
      <c r="AW531" t="s">
        <v>74</v>
      </c>
      <c r="AX531" t="s">
        <v>74</v>
      </c>
      <c r="AY531" t="s">
        <v>74</v>
      </c>
      <c r="AZ531" t="s">
        <v>74</v>
      </c>
      <c r="BA531" t="s">
        <v>74</v>
      </c>
      <c r="BB531">
        <v>291</v>
      </c>
      <c r="BC531">
        <v>298</v>
      </c>
      <c r="BD531" t="s">
        <v>74</v>
      </c>
      <c r="BE531" t="s">
        <v>7516</v>
      </c>
      <c r="BF531" t="str">
        <f>HYPERLINK("http://dx.doi.org/10.3189/172756402781816564","http://dx.doi.org/10.3189/172756402781816564")</f>
        <v>http://dx.doi.org/10.3189/172756402781816564</v>
      </c>
      <c r="BG531" t="s">
        <v>74</v>
      </c>
      <c r="BH531" t="s">
        <v>74</v>
      </c>
      <c r="BI531">
        <v>8</v>
      </c>
      <c r="BJ531" t="s">
        <v>608</v>
      </c>
      <c r="BK531" t="s">
        <v>744</v>
      </c>
      <c r="BL531" t="s">
        <v>439</v>
      </c>
      <c r="BM531" t="s">
        <v>7373</v>
      </c>
      <c r="BN531" t="s">
        <v>74</v>
      </c>
      <c r="BO531" t="s">
        <v>173</v>
      </c>
      <c r="BP531" t="s">
        <v>74</v>
      </c>
      <c r="BQ531" t="s">
        <v>74</v>
      </c>
      <c r="BR531" t="s">
        <v>107</v>
      </c>
      <c r="BS531" t="s">
        <v>7517</v>
      </c>
      <c r="BT531" t="str">
        <f>HYPERLINK("https%3A%2F%2Fwww.webofscience.com%2Fwos%2Fwoscc%2Ffull-record%2FWOS:000182023600048","View Full Record in Web of Science")</f>
        <v>View Full Record in Web of Science</v>
      </c>
    </row>
    <row r="532" spans="1:72" x14ac:dyDescent="0.15">
      <c r="A532" t="s">
        <v>1051</v>
      </c>
      <c r="B532" t="s">
        <v>7518</v>
      </c>
      <c r="C532" t="s">
        <v>74</v>
      </c>
      <c r="D532" t="s">
        <v>7359</v>
      </c>
      <c r="E532" t="s">
        <v>74</v>
      </c>
      <c r="F532" t="s">
        <v>7518</v>
      </c>
      <c r="G532" t="s">
        <v>74</v>
      </c>
      <c r="H532" t="s">
        <v>74</v>
      </c>
      <c r="I532" t="s">
        <v>7519</v>
      </c>
      <c r="J532" t="s">
        <v>7361</v>
      </c>
      <c r="K532" t="s">
        <v>7148</v>
      </c>
      <c r="L532" t="s">
        <v>74</v>
      </c>
      <c r="M532" t="s">
        <v>77</v>
      </c>
      <c r="N532" t="s">
        <v>78</v>
      </c>
      <c r="O532" t="s">
        <v>7362</v>
      </c>
      <c r="P532" t="s">
        <v>7363</v>
      </c>
      <c r="Q532" t="s">
        <v>7364</v>
      </c>
      <c r="R532" t="s">
        <v>74</v>
      </c>
      <c r="S532" t="s">
        <v>74</v>
      </c>
      <c r="T532" t="s">
        <v>74</v>
      </c>
      <c r="U532" t="s">
        <v>7520</v>
      </c>
      <c r="V532" t="s">
        <v>7521</v>
      </c>
      <c r="W532" t="s">
        <v>7522</v>
      </c>
      <c r="X532" t="s">
        <v>7523</v>
      </c>
      <c r="Y532" t="s">
        <v>7524</v>
      </c>
      <c r="Z532" t="s">
        <v>7525</v>
      </c>
      <c r="AA532" t="s">
        <v>7526</v>
      </c>
      <c r="AB532" t="s">
        <v>7527</v>
      </c>
      <c r="AC532" t="s">
        <v>7395</v>
      </c>
      <c r="AD532" t="s">
        <v>1612</v>
      </c>
      <c r="AE532" t="s">
        <v>74</v>
      </c>
      <c r="AF532" t="s">
        <v>74</v>
      </c>
      <c r="AG532">
        <v>13</v>
      </c>
      <c r="AH532">
        <v>40</v>
      </c>
      <c r="AI532">
        <v>42</v>
      </c>
      <c r="AJ532">
        <v>0</v>
      </c>
      <c r="AK532">
        <v>8</v>
      </c>
      <c r="AL532" t="s">
        <v>7160</v>
      </c>
      <c r="AM532" t="s">
        <v>5426</v>
      </c>
      <c r="AN532" t="s">
        <v>7161</v>
      </c>
      <c r="AO532" t="s">
        <v>7162</v>
      </c>
      <c r="AP532" t="s">
        <v>74</v>
      </c>
      <c r="AQ532" t="s">
        <v>7371</v>
      </c>
      <c r="AR532" t="s">
        <v>7164</v>
      </c>
      <c r="AS532" t="s">
        <v>74</v>
      </c>
      <c r="AT532" t="s">
        <v>74</v>
      </c>
      <c r="AU532">
        <v>2002</v>
      </c>
      <c r="AV532">
        <v>35</v>
      </c>
      <c r="AW532" t="s">
        <v>74</v>
      </c>
      <c r="AX532" t="s">
        <v>74</v>
      </c>
      <c r="AY532" t="s">
        <v>74</v>
      </c>
      <c r="AZ532" t="s">
        <v>74</v>
      </c>
      <c r="BA532" t="s">
        <v>74</v>
      </c>
      <c r="BB532">
        <v>299</v>
      </c>
      <c r="BC532">
        <v>305</v>
      </c>
      <c r="BD532" t="s">
        <v>74</v>
      </c>
      <c r="BE532" t="s">
        <v>7528</v>
      </c>
      <c r="BF532" t="str">
        <f>HYPERLINK("http://dx.doi.org/10.3189/172756402781817022","http://dx.doi.org/10.3189/172756402781817022")</f>
        <v>http://dx.doi.org/10.3189/172756402781817022</v>
      </c>
      <c r="BG532" t="s">
        <v>74</v>
      </c>
      <c r="BH532" t="s">
        <v>74</v>
      </c>
      <c r="BI532">
        <v>7</v>
      </c>
      <c r="BJ532" t="s">
        <v>608</v>
      </c>
      <c r="BK532" t="s">
        <v>744</v>
      </c>
      <c r="BL532" t="s">
        <v>439</v>
      </c>
      <c r="BM532" t="s">
        <v>7373</v>
      </c>
      <c r="BN532" t="s">
        <v>74</v>
      </c>
      <c r="BO532" t="s">
        <v>2052</v>
      </c>
      <c r="BP532" t="s">
        <v>74</v>
      </c>
      <c r="BQ532" t="s">
        <v>74</v>
      </c>
      <c r="BR532" t="s">
        <v>107</v>
      </c>
      <c r="BS532" t="s">
        <v>7529</v>
      </c>
      <c r="BT532" t="str">
        <f>HYPERLINK("https%3A%2F%2Fwww.webofscience.com%2Fwos%2Fwoscc%2Ffull-record%2FWOS:000182023600049","View Full Record in Web of Science")</f>
        <v>View Full Record in Web of Science</v>
      </c>
    </row>
    <row r="533" spans="1:72" x14ac:dyDescent="0.15">
      <c r="A533" t="s">
        <v>1051</v>
      </c>
      <c r="B533" t="s">
        <v>3728</v>
      </c>
      <c r="C533" t="s">
        <v>74</v>
      </c>
      <c r="D533" t="s">
        <v>7359</v>
      </c>
      <c r="E533" t="s">
        <v>74</v>
      </c>
      <c r="F533" t="s">
        <v>3728</v>
      </c>
      <c r="G533" t="s">
        <v>74</v>
      </c>
      <c r="H533" t="s">
        <v>74</v>
      </c>
      <c r="I533" t="s">
        <v>7530</v>
      </c>
      <c r="J533" t="s">
        <v>7361</v>
      </c>
      <c r="K533" t="s">
        <v>7148</v>
      </c>
      <c r="L533" t="s">
        <v>74</v>
      </c>
      <c r="M533" t="s">
        <v>77</v>
      </c>
      <c r="N533" t="s">
        <v>78</v>
      </c>
      <c r="O533" t="s">
        <v>7362</v>
      </c>
      <c r="P533" t="s">
        <v>7363</v>
      </c>
      <c r="Q533" t="s">
        <v>7364</v>
      </c>
      <c r="R533" t="s">
        <v>74</v>
      </c>
      <c r="S533" t="s">
        <v>74</v>
      </c>
      <c r="T533" t="s">
        <v>74</v>
      </c>
      <c r="U533" t="s">
        <v>7531</v>
      </c>
      <c r="V533" t="s">
        <v>7532</v>
      </c>
      <c r="W533" t="s">
        <v>3732</v>
      </c>
      <c r="X533" t="s">
        <v>3733</v>
      </c>
      <c r="Y533" t="s">
        <v>7533</v>
      </c>
      <c r="Z533" t="s">
        <v>3735</v>
      </c>
      <c r="AA533" t="s">
        <v>7534</v>
      </c>
      <c r="AB533" t="s">
        <v>7535</v>
      </c>
      <c r="AC533" t="s">
        <v>74</v>
      </c>
      <c r="AD533" t="s">
        <v>74</v>
      </c>
      <c r="AE533" t="s">
        <v>74</v>
      </c>
      <c r="AF533" t="s">
        <v>74</v>
      </c>
      <c r="AG533">
        <v>64</v>
      </c>
      <c r="AH533">
        <v>11</v>
      </c>
      <c r="AI533">
        <v>13</v>
      </c>
      <c r="AJ533">
        <v>1</v>
      </c>
      <c r="AK533">
        <v>14</v>
      </c>
      <c r="AL533" t="s">
        <v>7160</v>
      </c>
      <c r="AM533" t="s">
        <v>5426</v>
      </c>
      <c r="AN533" t="s">
        <v>7161</v>
      </c>
      <c r="AO533" t="s">
        <v>7162</v>
      </c>
      <c r="AP533" t="s">
        <v>74</v>
      </c>
      <c r="AQ533" t="s">
        <v>7371</v>
      </c>
      <c r="AR533" t="s">
        <v>7164</v>
      </c>
      <c r="AS533" t="s">
        <v>74</v>
      </c>
      <c r="AT533" t="s">
        <v>74</v>
      </c>
      <c r="AU533">
        <v>2002</v>
      </c>
      <c r="AV533">
        <v>35</v>
      </c>
      <c r="AW533" t="s">
        <v>74</v>
      </c>
      <c r="AX533" t="s">
        <v>74</v>
      </c>
      <c r="AY533" t="s">
        <v>74</v>
      </c>
      <c r="AZ533" t="s">
        <v>74</v>
      </c>
      <c r="BA533" t="s">
        <v>74</v>
      </c>
      <c r="BB533">
        <v>306</v>
      </c>
      <c r="BC533">
        <v>312</v>
      </c>
      <c r="BD533" t="s">
        <v>74</v>
      </c>
      <c r="BE533" t="s">
        <v>7536</v>
      </c>
      <c r="BF533" t="str">
        <f>HYPERLINK("http://dx.doi.org/10.3189/172756402781816843","http://dx.doi.org/10.3189/172756402781816843")</f>
        <v>http://dx.doi.org/10.3189/172756402781816843</v>
      </c>
      <c r="BG533" t="s">
        <v>74</v>
      </c>
      <c r="BH533" t="s">
        <v>74</v>
      </c>
      <c r="BI533">
        <v>7</v>
      </c>
      <c r="BJ533" t="s">
        <v>608</v>
      </c>
      <c r="BK533" t="s">
        <v>744</v>
      </c>
      <c r="BL533" t="s">
        <v>439</v>
      </c>
      <c r="BM533" t="s">
        <v>7373</v>
      </c>
      <c r="BN533" t="s">
        <v>74</v>
      </c>
      <c r="BO533" t="s">
        <v>1767</v>
      </c>
      <c r="BP533" t="s">
        <v>74</v>
      </c>
      <c r="BQ533" t="s">
        <v>74</v>
      </c>
      <c r="BR533" t="s">
        <v>107</v>
      </c>
      <c r="BS533" t="s">
        <v>7537</v>
      </c>
      <c r="BT533" t="str">
        <f>HYPERLINK("https%3A%2F%2Fwww.webofscience.com%2Fwos%2Fwoscc%2Ffull-record%2FWOS:000182023600050","View Full Record in Web of Science")</f>
        <v>View Full Record in Web of Science</v>
      </c>
    </row>
    <row r="534" spans="1:72" x14ac:dyDescent="0.15">
      <c r="A534" t="s">
        <v>1051</v>
      </c>
      <c r="B534" t="s">
        <v>7538</v>
      </c>
      <c r="C534" t="s">
        <v>74</v>
      </c>
      <c r="D534" t="s">
        <v>7359</v>
      </c>
      <c r="E534" t="s">
        <v>74</v>
      </c>
      <c r="F534" t="s">
        <v>7538</v>
      </c>
      <c r="G534" t="s">
        <v>74</v>
      </c>
      <c r="H534" t="s">
        <v>74</v>
      </c>
      <c r="I534" t="s">
        <v>7539</v>
      </c>
      <c r="J534" t="s">
        <v>7361</v>
      </c>
      <c r="K534" t="s">
        <v>7148</v>
      </c>
      <c r="L534" t="s">
        <v>74</v>
      </c>
      <c r="M534" t="s">
        <v>77</v>
      </c>
      <c r="N534" t="s">
        <v>78</v>
      </c>
      <c r="O534" t="s">
        <v>7362</v>
      </c>
      <c r="P534" t="s">
        <v>7363</v>
      </c>
      <c r="Q534" t="s">
        <v>7364</v>
      </c>
      <c r="R534" t="s">
        <v>74</v>
      </c>
      <c r="S534" t="s">
        <v>74</v>
      </c>
      <c r="T534" t="s">
        <v>74</v>
      </c>
      <c r="U534" t="s">
        <v>7540</v>
      </c>
      <c r="V534" t="s">
        <v>7541</v>
      </c>
      <c r="W534" t="s">
        <v>7542</v>
      </c>
      <c r="X534" t="s">
        <v>7543</v>
      </c>
      <c r="Y534" t="s">
        <v>7544</v>
      </c>
      <c r="Z534" t="s">
        <v>7545</v>
      </c>
      <c r="AA534" t="s">
        <v>7546</v>
      </c>
      <c r="AB534" t="s">
        <v>7547</v>
      </c>
      <c r="AC534" t="s">
        <v>74</v>
      </c>
      <c r="AD534" t="s">
        <v>74</v>
      </c>
      <c r="AE534" t="s">
        <v>74</v>
      </c>
      <c r="AF534" t="s">
        <v>74</v>
      </c>
      <c r="AG534">
        <v>27</v>
      </c>
      <c r="AH534">
        <v>7</v>
      </c>
      <c r="AI534">
        <v>9</v>
      </c>
      <c r="AJ534">
        <v>1</v>
      </c>
      <c r="AK534">
        <v>6</v>
      </c>
      <c r="AL534" t="s">
        <v>7160</v>
      </c>
      <c r="AM534" t="s">
        <v>5426</v>
      </c>
      <c r="AN534" t="s">
        <v>7161</v>
      </c>
      <c r="AO534" t="s">
        <v>7162</v>
      </c>
      <c r="AP534" t="s">
        <v>74</v>
      </c>
      <c r="AQ534" t="s">
        <v>7371</v>
      </c>
      <c r="AR534" t="s">
        <v>7164</v>
      </c>
      <c r="AS534" t="s">
        <v>74</v>
      </c>
      <c r="AT534" t="s">
        <v>74</v>
      </c>
      <c r="AU534">
        <v>2002</v>
      </c>
      <c r="AV534">
        <v>35</v>
      </c>
      <c r="AW534" t="s">
        <v>74</v>
      </c>
      <c r="AX534" t="s">
        <v>74</v>
      </c>
      <c r="AY534" t="s">
        <v>74</v>
      </c>
      <c r="AZ534" t="s">
        <v>74</v>
      </c>
      <c r="BA534" t="s">
        <v>74</v>
      </c>
      <c r="BB534">
        <v>313</v>
      </c>
      <c r="BC534" t="s">
        <v>1835</v>
      </c>
      <c r="BD534" t="s">
        <v>74</v>
      </c>
      <c r="BE534" t="s">
        <v>7548</v>
      </c>
      <c r="BF534" t="str">
        <f>HYPERLINK("http://dx.doi.org/10.3189/172756402781816951","http://dx.doi.org/10.3189/172756402781816951")</f>
        <v>http://dx.doi.org/10.3189/172756402781816951</v>
      </c>
      <c r="BG534" t="s">
        <v>74</v>
      </c>
      <c r="BH534" t="s">
        <v>74</v>
      </c>
      <c r="BI534">
        <v>3</v>
      </c>
      <c r="BJ534" t="s">
        <v>608</v>
      </c>
      <c r="BK534" t="s">
        <v>744</v>
      </c>
      <c r="BL534" t="s">
        <v>439</v>
      </c>
      <c r="BM534" t="s">
        <v>7373</v>
      </c>
      <c r="BN534" t="s">
        <v>74</v>
      </c>
      <c r="BO534" t="s">
        <v>173</v>
      </c>
      <c r="BP534" t="s">
        <v>74</v>
      </c>
      <c r="BQ534" t="s">
        <v>74</v>
      </c>
      <c r="BR534" t="s">
        <v>107</v>
      </c>
      <c r="BS534" t="s">
        <v>7549</v>
      </c>
      <c r="BT534" t="str">
        <f>HYPERLINK("https%3A%2F%2Fwww.webofscience.com%2Fwos%2Fwoscc%2Ffull-record%2FWOS:000182023600051","View Full Record in Web of Science")</f>
        <v>View Full Record in Web of Science</v>
      </c>
    </row>
    <row r="535" spans="1:72" x14ac:dyDescent="0.15">
      <c r="A535" t="s">
        <v>1051</v>
      </c>
      <c r="B535" t="s">
        <v>7550</v>
      </c>
      <c r="C535" t="s">
        <v>74</v>
      </c>
      <c r="D535" t="s">
        <v>7359</v>
      </c>
      <c r="E535" t="s">
        <v>74</v>
      </c>
      <c r="F535" t="s">
        <v>7550</v>
      </c>
      <c r="G535" t="s">
        <v>74</v>
      </c>
      <c r="H535" t="s">
        <v>74</v>
      </c>
      <c r="I535" t="s">
        <v>7551</v>
      </c>
      <c r="J535" t="s">
        <v>7361</v>
      </c>
      <c r="K535" t="s">
        <v>7148</v>
      </c>
      <c r="L535" t="s">
        <v>74</v>
      </c>
      <c r="M535" t="s">
        <v>77</v>
      </c>
      <c r="N535" t="s">
        <v>78</v>
      </c>
      <c r="O535" t="s">
        <v>7362</v>
      </c>
      <c r="P535" t="s">
        <v>7363</v>
      </c>
      <c r="Q535" t="s">
        <v>7364</v>
      </c>
      <c r="R535" t="s">
        <v>74</v>
      </c>
      <c r="S535" t="s">
        <v>74</v>
      </c>
      <c r="T535" t="s">
        <v>74</v>
      </c>
      <c r="U535" t="s">
        <v>7552</v>
      </c>
      <c r="V535" t="s">
        <v>7553</v>
      </c>
      <c r="W535" t="s">
        <v>7542</v>
      </c>
      <c r="X535" t="s">
        <v>7543</v>
      </c>
      <c r="Y535" t="s">
        <v>7544</v>
      </c>
      <c r="Z535" t="s">
        <v>7545</v>
      </c>
      <c r="AA535" t="s">
        <v>7554</v>
      </c>
      <c r="AB535" t="s">
        <v>7555</v>
      </c>
      <c r="AC535" t="s">
        <v>74</v>
      </c>
      <c r="AD535" t="s">
        <v>74</v>
      </c>
      <c r="AE535" t="s">
        <v>74</v>
      </c>
      <c r="AF535" t="s">
        <v>74</v>
      </c>
      <c r="AG535">
        <v>25</v>
      </c>
      <c r="AH535">
        <v>8</v>
      </c>
      <c r="AI535">
        <v>9</v>
      </c>
      <c r="AJ535">
        <v>1</v>
      </c>
      <c r="AK535">
        <v>8</v>
      </c>
      <c r="AL535" t="s">
        <v>7160</v>
      </c>
      <c r="AM535" t="s">
        <v>5426</v>
      </c>
      <c r="AN535" t="s">
        <v>7161</v>
      </c>
      <c r="AO535" t="s">
        <v>7162</v>
      </c>
      <c r="AP535" t="s">
        <v>74</v>
      </c>
      <c r="AQ535" t="s">
        <v>7371</v>
      </c>
      <c r="AR535" t="s">
        <v>7164</v>
      </c>
      <c r="AS535" t="s">
        <v>74</v>
      </c>
      <c r="AT535" t="s">
        <v>74</v>
      </c>
      <c r="AU535">
        <v>2002</v>
      </c>
      <c r="AV535">
        <v>35</v>
      </c>
      <c r="AW535" t="s">
        <v>74</v>
      </c>
      <c r="AX535" t="s">
        <v>74</v>
      </c>
      <c r="AY535" t="s">
        <v>74</v>
      </c>
      <c r="AZ535" t="s">
        <v>74</v>
      </c>
      <c r="BA535" t="s">
        <v>74</v>
      </c>
      <c r="BB535">
        <v>321</v>
      </c>
      <c r="BC535">
        <v>328</v>
      </c>
      <c r="BD535" t="s">
        <v>74</v>
      </c>
      <c r="BE535" t="s">
        <v>7556</v>
      </c>
      <c r="BF535" t="str">
        <f>HYPERLINK("http://dx.doi.org/10.3189/172756402781817068","http://dx.doi.org/10.3189/172756402781817068")</f>
        <v>http://dx.doi.org/10.3189/172756402781817068</v>
      </c>
      <c r="BG535" t="s">
        <v>74</v>
      </c>
      <c r="BH535" t="s">
        <v>74</v>
      </c>
      <c r="BI535">
        <v>8</v>
      </c>
      <c r="BJ535" t="s">
        <v>608</v>
      </c>
      <c r="BK535" t="s">
        <v>744</v>
      </c>
      <c r="BL535" t="s">
        <v>439</v>
      </c>
      <c r="BM535" t="s">
        <v>7373</v>
      </c>
      <c r="BN535" t="s">
        <v>74</v>
      </c>
      <c r="BO535" t="s">
        <v>173</v>
      </c>
      <c r="BP535" t="s">
        <v>74</v>
      </c>
      <c r="BQ535" t="s">
        <v>74</v>
      </c>
      <c r="BR535" t="s">
        <v>107</v>
      </c>
      <c r="BS535" t="s">
        <v>7557</v>
      </c>
      <c r="BT535" t="str">
        <f>HYPERLINK("https%3A%2F%2Fwww.webofscience.com%2Fwos%2Fwoscc%2Ffull-record%2FWOS:000182023600052","View Full Record in Web of Science")</f>
        <v>View Full Record in Web of Science</v>
      </c>
    </row>
    <row r="536" spans="1:72" x14ac:dyDescent="0.15">
      <c r="A536" t="s">
        <v>1051</v>
      </c>
      <c r="B536" t="s">
        <v>7558</v>
      </c>
      <c r="C536" t="s">
        <v>74</v>
      </c>
      <c r="D536" t="s">
        <v>7359</v>
      </c>
      <c r="E536" t="s">
        <v>74</v>
      </c>
      <c r="F536" t="s">
        <v>7558</v>
      </c>
      <c r="G536" t="s">
        <v>74</v>
      </c>
      <c r="H536" t="s">
        <v>74</v>
      </c>
      <c r="I536" t="s">
        <v>7559</v>
      </c>
      <c r="J536" t="s">
        <v>7361</v>
      </c>
      <c r="K536" t="s">
        <v>7148</v>
      </c>
      <c r="L536" t="s">
        <v>74</v>
      </c>
      <c r="M536" t="s">
        <v>77</v>
      </c>
      <c r="N536" t="s">
        <v>78</v>
      </c>
      <c r="O536" t="s">
        <v>7362</v>
      </c>
      <c r="P536" t="s">
        <v>7363</v>
      </c>
      <c r="Q536" t="s">
        <v>7364</v>
      </c>
      <c r="R536" t="s">
        <v>74</v>
      </c>
      <c r="S536" t="s">
        <v>74</v>
      </c>
      <c r="T536" t="s">
        <v>74</v>
      </c>
      <c r="U536" t="s">
        <v>7560</v>
      </c>
      <c r="V536" t="s">
        <v>7561</v>
      </c>
      <c r="W536" t="s">
        <v>7562</v>
      </c>
      <c r="X536" t="s">
        <v>7563</v>
      </c>
      <c r="Y536" t="s">
        <v>7564</v>
      </c>
      <c r="Z536" t="s">
        <v>7565</v>
      </c>
      <c r="AA536" t="s">
        <v>7566</v>
      </c>
      <c r="AB536" t="s">
        <v>7406</v>
      </c>
      <c r="AC536" t="s">
        <v>74</v>
      </c>
      <c r="AD536" t="s">
        <v>74</v>
      </c>
      <c r="AE536" t="s">
        <v>74</v>
      </c>
      <c r="AF536" t="s">
        <v>74</v>
      </c>
      <c r="AG536">
        <v>24</v>
      </c>
      <c r="AH536">
        <v>14</v>
      </c>
      <c r="AI536">
        <v>16</v>
      </c>
      <c r="AJ536">
        <v>0</v>
      </c>
      <c r="AK536">
        <v>5</v>
      </c>
      <c r="AL536" t="s">
        <v>7160</v>
      </c>
      <c r="AM536" t="s">
        <v>5426</v>
      </c>
      <c r="AN536" t="s">
        <v>7161</v>
      </c>
      <c r="AO536" t="s">
        <v>7162</v>
      </c>
      <c r="AP536" t="s">
        <v>74</v>
      </c>
      <c r="AQ536" t="s">
        <v>7371</v>
      </c>
      <c r="AR536" t="s">
        <v>7164</v>
      </c>
      <c r="AS536" t="s">
        <v>74</v>
      </c>
      <c r="AT536" t="s">
        <v>74</v>
      </c>
      <c r="AU536">
        <v>2002</v>
      </c>
      <c r="AV536">
        <v>35</v>
      </c>
      <c r="AW536" t="s">
        <v>74</v>
      </c>
      <c r="AX536" t="s">
        <v>74</v>
      </c>
      <c r="AY536" t="s">
        <v>74</v>
      </c>
      <c r="AZ536" t="s">
        <v>74</v>
      </c>
      <c r="BA536" t="s">
        <v>74</v>
      </c>
      <c r="BB536">
        <v>329</v>
      </c>
      <c r="BC536">
        <v>332</v>
      </c>
      <c r="BD536" t="s">
        <v>74</v>
      </c>
      <c r="BE536" t="s">
        <v>7567</v>
      </c>
      <c r="BF536" t="str">
        <f>HYPERLINK("http://dx.doi.org/10.3189/172756402781816771","http://dx.doi.org/10.3189/172756402781816771")</f>
        <v>http://dx.doi.org/10.3189/172756402781816771</v>
      </c>
      <c r="BG536" t="s">
        <v>74</v>
      </c>
      <c r="BH536" t="s">
        <v>74</v>
      </c>
      <c r="BI536">
        <v>4</v>
      </c>
      <c r="BJ536" t="s">
        <v>608</v>
      </c>
      <c r="BK536" t="s">
        <v>744</v>
      </c>
      <c r="BL536" t="s">
        <v>439</v>
      </c>
      <c r="BM536" t="s">
        <v>7373</v>
      </c>
      <c r="BN536" t="s">
        <v>74</v>
      </c>
      <c r="BO536" t="s">
        <v>1767</v>
      </c>
      <c r="BP536" t="s">
        <v>74</v>
      </c>
      <c r="BQ536" t="s">
        <v>74</v>
      </c>
      <c r="BR536" t="s">
        <v>107</v>
      </c>
      <c r="BS536" t="s">
        <v>7568</v>
      </c>
      <c r="BT536" t="str">
        <f>HYPERLINK("https%3A%2F%2Fwww.webofscience.com%2Fwos%2Fwoscc%2Ffull-record%2FWOS:000182023600053","View Full Record in Web of Science")</f>
        <v>View Full Record in Web of Science</v>
      </c>
    </row>
    <row r="537" spans="1:72" x14ac:dyDescent="0.15">
      <c r="A537" t="s">
        <v>1051</v>
      </c>
      <c r="B537" t="s">
        <v>7569</v>
      </c>
      <c r="C537" t="s">
        <v>74</v>
      </c>
      <c r="D537" t="s">
        <v>7359</v>
      </c>
      <c r="E537" t="s">
        <v>74</v>
      </c>
      <c r="F537" t="s">
        <v>7569</v>
      </c>
      <c r="G537" t="s">
        <v>74</v>
      </c>
      <c r="H537" t="s">
        <v>74</v>
      </c>
      <c r="I537" t="s">
        <v>7570</v>
      </c>
      <c r="J537" t="s">
        <v>7361</v>
      </c>
      <c r="K537" t="s">
        <v>7148</v>
      </c>
      <c r="L537" t="s">
        <v>74</v>
      </c>
      <c r="M537" t="s">
        <v>77</v>
      </c>
      <c r="N537" t="s">
        <v>78</v>
      </c>
      <c r="O537" t="s">
        <v>7362</v>
      </c>
      <c r="P537" t="s">
        <v>7363</v>
      </c>
      <c r="Q537" t="s">
        <v>7364</v>
      </c>
      <c r="R537" t="s">
        <v>74</v>
      </c>
      <c r="S537" t="s">
        <v>74</v>
      </c>
      <c r="T537" t="s">
        <v>74</v>
      </c>
      <c r="U537" t="s">
        <v>7571</v>
      </c>
      <c r="V537" t="s">
        <v>7572</v>
      </c>
      <c r="W537" t="s">
        <v>7573</v>
      </c>
      <c r="X537" t="s">
        <v>7574</v>
      </c>
      <c r="Y537" t="s">
        <v>7575</v>
      </c>
      <c r="Z537" t="s">
        <v>7576</v>
      </c>
      <c r="AA537" t="s">
        <v>7566</v>
      </c>
      <c r="AB537" t="s">
        <v>7406</v>
      </c>
      <c r="AC537" t="s">
        <v>74</v>
      </c>
      <c r="AD537" t="s">
        <v>74</v>
      </c>
      <c r="AE537" t="s">
        <v>74</v>
      </c>
      <c r="AF537" t="s">
        <v>74</v>
      </c>
      <c r="AG537">
        <v>30</v>
      </c>
      <c r="AH537">
        <v>30</v>
      </c>
      <c r="AI537">
        <v>31</v>
      </c>
      <c r="AJ537">
        <v>0</v>
      </c>
      <c r="AK537">
        <v>7</v>
      </c>
      <c r="AL537" t="s">
        <v>7160</v>
      </c>
      <c r="AM537" t="s">
        <v>5426</v>
      </c>
      <c r="AN537" t="s">
        <v>7161</v>
      </c>
      <c r="AO537" t="s">
        <v>7162</v>
      </c>
      <c r="AP537" t="s">
        <v>74</v>
      </c>
      <c r="AQ537" t="s">
        <v>7371</v>
      </c>
      <c r="AR537" t="s">
        <v>7164</v>
      </c>
      <c r="AS537" t="s">
        <v>74</v>
      </c>
      <c r="AT537" t="s">
        <v>74</v>
      </c>
      <c r="AU537">
        <v>2002</v>
      </c>
      <c r="AV537">
        <v>35</v>
      </c>
      <c r="AW537" t="s">
        <v>74</v>
      </c>
      <c r="AX537" t="s">
        <v>74</v>
      </c>
      <c r="AY537" t="s">
        <v>74</v>
      </c>
      <c r="AZ537" t="s">
        <v>74</v>
      </c>
      <c r="BA537" t="s">
        <v>74</v>
      </c>
      <c r="BB537">
        <v>333</v>
      </c>
      <c r="BC537">
        <v>339</v>
      </c>
      <c r="BD537" t="s">
        <v>74</v>
      </c>
      <c r="BE537" t="s">
        <v>7577</v>
      </c>
      <c r="BF537" t="str">
        <f>HYPERLINK("http://dx.doi.org/10.3189/172756402781816528","http://dx.doi.org/10.3189/172756402781816528")</f>
        <v>http://dx.doi.org/10.3189/172756402781816528</v>
      </c>
      <c r="BG537" t="s">
        <v>74</v>
      </c>
      <c r="BH537" t="s">
        <v>74</v>
      </c>
      <c r="BI537">
        <v>7</v>
      </c>
      <c r="BJ537" t="s">
        <v>608</v>
      </c>
      <c r="BK537" t="s">
        <v>744</v>
      </c>
      <c r="BL537" t="s">
        <v>439</v>
      </c>
      <c r="BM537" t="s">
        <v>7373</v>
      </c>
      <c r="BN537" t="s">
        <v>74</v>
      </c>
      <c r="BO537" t="s">
        <v>535</v>
      </c>
      <c r="BP537" t="s">
        <v>74</v>
      </c>
      <c r="BQ537" t="s">
        <v>74</v>
      </c>
      <c r="BR537" t="s">
        <v>107</v>
      </c>
      <c r="BS537" t="s">
        <v>7578</v>
      </c>
      <c r="BT537" t="str">
        <f>HYPERLINK("https%3A%2F%2Fwww.webofscience.com%2Fwos%2Fwoscc%2Ffull-record%2FWOS:000182023600054","View Full Record in Web of Science")</f>
        <v>View Full Record in Web of Science</v>
      </c>
    </row>
    <row r="538" spans="1:72" x14ac:dyDescent="0.15">
      <c r="A538" t="s">
        <v>1051</v>
      </c>
      <c r="B538" t="s">
        <v>7579</v>
      </c>
      <c r="C538" t="s">
        <v>74</v>
      </c>
      <c r="D538" t="s">
        <v>7359</v>
      </c>
      <c r="E538" t="s">
        <v>74</v>
      </c>
      <c r="F538" t="s">
        <v>7579</v>
      </c>
      <c r="G538" t="s">
        <v>74</v>
      </c>
      <c r="H538" t="s">
        <v>74</v>
      </c>
      <c r="I538" t="s">
        <v>7580</v>
      </c>
      <c r="J538" t="s">
        <v>7361</v>
      </c>
      <c r="K538" t="s">
        <v>7148</v>
      </c>
      <c r="L538" t="s">
        <v>74</v>
      </c>
      <c r="M538" t="s">
        <v>77</v>
      </c>
      <c r="N538" t="s">
        <v>78</v>
      </c>
      <c r="O538" t="s">
        <v>7362</v>
      </c>
      <c r="P538" t="s">
        <v>7363</v>
      </c>
      <c r="Q538" t="s">
        <v>7364</v>
      </c>
      <c r="R538" t="s">
        <v>74</v>
      </c>
      <c r="S538" t="s">
        <v>74</v>
      </c>
      <c r="T538" t="s">
        <v>74</v>
      </c>
      <c r="U538" t="s">
        <v>7581</v>
      </c>
      <c r="V538" t="s">
        <v>7582</v>
      </c>
      <c r="W538" t="s">
        <v>7583</v>
      </c>
      <c r="X538" t="s">
        <v>7584</v>
      </c>
      <c r="Y538" t="s">
        <v>7585</v>
      </c>
      <c r="Z538" t="s">
        <v>7586</v>
      </c>
      <c r="AA538" t="s">
        <v>7587</v>
      </c>
      <c r="AB538" t="s">
        <v>7588</v>
      </c>
      <c r="AC538" t="s">
        <v>74</v>
      </c>
      <c r="AD538" t="s">
        <v>74</v>
      </c>
      <c r="AE538" t="s">
        <v>74</v>
      </c>
      <c r="AF538" t="s">
        <v>74</v>
      </c>
      <c r="AG538">
        <v>23</v>
      </c>
      <c r="AH538">
        <v>20</v>
      </c>
      <c r="AI538">
        <v>22</v>
      </c>
      <c r="AJ538">
        <v>0</v>
      </c>
      <c r="AK538">
        <v>9</v>
      </c>
      <c r="AL538" t="s">
        <v>7160</v>
      </c>
      <c r="AM538" t="s">
        <v>5426</v>
      </c>
      <c r="AN538" t="s">
        <v>7161</v>
      </c>
      <c r="AO538" t="s">
        <v>7162</v>
      </c>
      <c r="AP538" t="s">
        <v>74</v>
      </c>
      <c r="AQ538" t="s">
        <v>7371</v>
      </c>
      <c r="AR538" t="s">
        <v>7164</v>
      </c>
      <c r="AS538" t="s">
        <v>74</v>
      </c>
      <c r="AT538" t="s">
        <v>74</v>
      </c>
      <c r="AU538">
        <v>2002</v>
      </c>
      <c r="AV538">
        <v>35</v>
      </c>
      <c r="AW538" t="s">
        <v>74</v>
      </c>
      <c r="AX538" t="s">
        <v>74</v>
      </c>
      <c r="AY538" t="s">
        <v>74</v>
      </c>
      <c r="AZ538" t="s">
        <v>74</v>
      </c>
      <c r="BA538" t="s">
        <v>74</v>
      </c>
      <c r="BB538">
        <v>340</v>
      </c>
      <c r="BC538" t="s">
        <v>1835</v>
      </c>
      <c r="BD538" t="s">
        <v>74</v>
      </c>
      <c r="BE538" t="s">
        <v>7589</v>
      </c>
      <c r="BF538" t="str">
        <f>HYPERLINK("http://dx.doi.org/10.3189/172756402781816816","http://dx.doi.org/10.3189/172756402781816816")</f>
        <v>http://dx.doi.org/10.3189/172756402781816816</v>
      </c>
      <c r="BG538" t="s">
        <v>74</v>
      </c>
      <c r="BH538" t="s">
        <v>74</v>
      </c>
      <c r="BI538">
        <v>3</v>
      </c>
      <c r="BJ538" t="s">
        <v>608</v>
      </c>
      <c r="BK538" t="s">
        <v>744</v>
      </c>
      <c r="BL538" t="s">
        <v>439</v>
      </c>
      <c r="BM538" t="s">
        <v>7373</v>
      </c>
      <c r="BN538" t="s">
        <v>74</v>
      </c>
      <c r="BO538" t="s">
        <v>74</v>
      </c>
      <c r="BP538" t="s">
        <v>74</v>
      </c>
      <c r="BQ538" t="s">
        <v>74</v>
      </c>
      <c r="BR538" t="s">
        <v>107</v>
      </c>
      <c r="BS538" t="s">
        <v>7590</v>
      </c>
      <c r="BT538" t="str">
        <f>HYPERLINK("https%3A%2F%2Fwww.webofscience.com%2Fwos%2Fwoscc%2Ffull-record%2FWOS:000182023600055","View Full Record in Web of Science")</f>
        <v>View Full Record in Web of Science</v>
      </c>
    </row>
    <row r="539" spans="1:72" x14ac:dyDescent="0.15">
      <c r="A539" t="s">
        <v>1051</v>
      </c>
      <c r="B539" t="s">
        <v>7591</v>
      </c>
      <c r="C539" t="s">
        <v>74</v>
      </c>
      <c r="D539" t="s">
        <v>7359</v>
      </c>
      <c r="E539" t="s">
        <v>74</v>
      </c>
      <c r="F539" t="s">
        <v>7591</v>
      </c>
      <c r="G539" t="s">
        <v>74</v>
      </c>
      <c r="H539" t="s">
        <v>74</v>
      </c>
      <c r="I539" t="s">
        <v>7592</v>
      </c>
      <c r="J539" t="s">
        <v>7361</v>
      </c>
      <c r="K539" t="s">
        <v>7148</v>
      </c>
      <c r="L539" t="s">
        <v>74</v>
      </c>
      <c r="M539" t="s">
        <v>77</v>
      </c>
      <c r="N539" t="s">
        <v>78</v>
      </c>
      <c r="O539" t="s">
        <v>7362</v>
      </c>
      <c r="P539" t="s">
        <v>7363</v>
      </c>
      <c r="Q539" t="s">
        <v>7364</v>
      </c>
      <c r="R539" t="s">
        <v>74</v>
      </c>
      <c r="S539" t="s">
        <v>74</v>
      </c>
      <c r="T539" t="s">
        <v>74</v>
      </c>
      <c r="U539" t="s">
        <v>7593</v>
      </c>
      <c r="V539" t="s">
        <v>7594</v>
      </c>
      <c r="W539" t="s">
        <v>7595</v>
      </c>
      <c r="X539" t="s">
        <v>7596</v>
      </c>
      <c r="Y539" t="s">
        <v>7597</v>
      </c>
      <c r="Z539" t="s">
        <v>7598</v>
      </c>
      <c r="AA539" t="s">
        <v>7599</v>
      </c>
      <c r="AB539" t="s">
        <v>7600</v>
      </c>
      <c r="AC539" t="s">
        <v>7454</v>
      </c>
      <c r="AD539" t="s">
        <v>5343</v>
      </c>
      <c r="AE539" t="s">
        <v>74</v>
      </c>
      <c r="AF539" t="s">
        <v>74</v>
      </c>
      <c r="AG539">
        <v>18</v>
      </c>
      <c r="AH539">
        <v>32</v>
      </c>
      <c r="AI539">
        <v>33</v>
      </c>
      <c r="AJ539">
        <v>0</v>
      </c>
      <c r="AK539">
        <v>7</v>
      </c>
      <c r="AL539" t="s">
        <v>7160</v>
      </c>
      <c r="AM539" t="s">
        <v>5426</v>
      </c>
      <c r="AN539" t="s">
        <v>7161</v>
      </c>
      <c r="AO539" t="s">
        <v>7162</v>
      </c>
      <c r="AP539" t="s">
        <v>74</v>
      </c>
      <c r="AQ539" t="s">
        <v>7371</v>
      </c>
      <c r="AR539" t="s">
        <v>7164</v>
      </c>
      <c r="AS539" t="s">
        <v>74</v>
      </c>
      <c r="AT539" t="s">
        <v>74</v>
      </c>
      <c r="AU539">
        <v>2002</v>
      </c>
      <c r="AV539">
        <v>35</v>
      </c>
      <c r="AW539" t="s">
        <v>74</v>
      </c>
      <c r="AX539" t="s">
        <v>74</v>
      </c>
      <c r="AY539" t="s">
        <v>74</v>
      </c>
      <c r="AZ539" t="s">
        <v>74</v>
      </c>
      <c r="BA539" t="s">
        <v>74</v>
      </c>
      <c r="BB539">
        <v>371</v>
      </c>
      <c r="BC539">
        <v>378</v>
      </c>
      <c r="BD539" t="s">
        <v>74</v>
      </c>
      <c r="BE539" t="s">
        <v>7601</v>
      </c>
      <c r="BF539" t="str">
        <f>HYPERLINK("http://dx.doi.org/10.3189/172756402781816979","http://dx.doi.org/10.3189/172756402781816979")</f>
        <v>http://dx.doi.org/10.3189/172756402781816979</v>
      </c>
      <c r="BG539" t="s">
        <v>74</v>
      </c>
      <c r="BH539" t="s">
        <v>74</v>
      </c>
      <c r="BI539">
        <v>8</v>
      </c>
      <c r="BJ539" t="s">
        <v>608</v>
      </c>
      <c r="BK539" t="s">
        <v>744</v>
      </c>
      <c r="BL539" t="s">
        <v>439</v>
      </c>
      <c r="BM539" t="s">
        <v>7373</v>
      </c>
      <c r="BN539" t="s">
        <v>74</v>
      </c>
      <c r="BO539" t="s">
        <v>173</v>
      </c>
      <c r="BP539" t="s">
        <v>74</v>
      </c>
      <c r="BQ539" t="s">
        <v>74</v>
      </c>
      <c r="BR539" t="s">
        <v>107</v>
      </c>
      <c r="BS539" t="s">
        <v>7602</v>
      </c>
      <c r="BT539" t="str">
        <f>HYPERLINK("https%3A%2F%2Fwww.webofscience.com%2Fwos%2Fwoscc%2Ffull-record%2FWOS:000182023600060","View Full Record in Web of Science")</f>
        <v>View Full Record in Web of Science</v>
      </c>
    </row>
    <row r="540" spans="1:72" x14ac:dyDescent="0.15">
      <c r="A540" t="s">
        <v>1051</v>
      </c>
      <c r="B540" t="s">
        <v>7603</v>
      </c>
      <c r="C540" t="s">
        <v>74</v>
      </c>
      <c r="D540" t="s">
        <v>7359</v>
      </c>
      <c r="E540" t="s">
        <v>74</v>
      </c>
      <c r="F540" t="s">
        <v>7603</v>
      </c>
      <c r="G540" t="s">
        <v>74</v>
      </c>
      <c r="H540" t="s">
        <v>74</v>
      </c>
      <c r="I540" t="s">
        <v>7604</v>
      </c>
      <c r="J540" t="s">
        <v>7361</v>
      </c>
      <c r="K540" t="s">
        <v>7148</v>
      </c>
      <c r="L540" t="s">
        <v>74</v>
      </c>
      <c r="M540" t="s">
        <v>77</v>
      </c>
      <c r="N540" t="s">
        <v>78</v>
      </c>
      <c r="O540" t="s">
        <v>7362</v>
      </c>
      <c r="P540" t="s">
        <v>7363</v>
      </c>
      <c r="Q540" t="s">
        <v>7364</v>
      </c>
      <c r="R540" t="s">
        <v>74</v>
      </c>
      <c r="S540" t="s">
        <v>74</v>
      </c>
      <c r="T540" t="s">
        <v>74</v>
      </c>
      <c r="U540" t="s">
        <v>7605</v>
      </c>
      <c r="V540" t="s">
        <v>7606</v>
      </c>
      <c r="W540" t="s">
        <v>7607</v>
      </c>
      <c r="X540" t="s">
        <v>7608</v>
      </c>
      <c r="Y540" t="s">
        <v>7609</v>
      </c>
      <c r="Z540" t="s">
        <v>7610</v>
      </c>
      <c r="AA540" t="s">
        <v>7611</v>
      </c>
      <c r="AB540" t="s">
        <v>7612</v>
      </c>
      <c r="AC540" t="s">
        <v>74</v>
      </c>
      <c r="AD540" t="s">
        <v>74</v>
      </c>
      <c r="AE540" t="s">
        <v>74</v>
      </c>
      <c r="AF540" t="s">
        <v>74</v>
      </c>
      <c r="AG540">
        <v>26</v>
      </c>
      <c r="AH540">
        <v>29</v>
      </c>
      <c r="AI540">
        <v>30</v>
      </c>
      <c r="AJ540">
        <v>0</v>
      </c>
      <c r="AK540">
        <v>6</v>
      </c>
      <c r="AL540" t="s">
        <v>7160</v>
      </c>
      <c r="AM540" t="s">
        <v>5426</v>
      </c>
      <c r="AN540" t="s">
        <v>7161</v>
      </c>
      <c r="AO540" t="s">
        <v>7162</v>
      </c>
      <c r="AP540" t="s">
        <v>74</v>
      </c>
      <c r="AQ540" t="s">
        <v>7371</v>
      </c>
      <c r="AR540" t="s">
        <v>7164</v>
      </c>
      <c r="AS540" t="s">
        <v>74</v>
      </c>
      <c r="AT540" t="s">
        <v>74</v>
      </c>
      <c r="AU540">
        <v>2002</v>
      </c>
      <c r="AV540">
        <v>35</v>
      </c>
      <c r="AW540" t="s">
        <v>74</v>
      </c>
      <c r="AX540" t="s">
        <v>74</v>
      </c>
      <c r="AY540" t="s">
        <v>74</v>
      </c>
      <c r="AZ540" t="s">
        <v>74</v>
      </c>
      <c r="BA540" t="s">
        <v>74</v>
      </c>
      <c r="BB540">
        <v>384</v>
      </c>
      <c r="BC540">
        <v>390</v>
      </c>
      <c r="BD540" t="s">
        <v>74</v>
      </c>
      <c r="BE540" t="s">
        <v>7613</v>
      </c>
      <c r="BF540" t="str">
        <f>HYPERLINK("http://dx.doi.org/10.3189/172756402781817013","http://dx.doi.org/10.3189/172756402781817013")</f>
        <v>http://dx.doi.org/10.3189/172756402781817013</v>
      </c>
      <c r="BG540" t="s">
        <v>74</v>
      </c>
      <c r="BH540" t="s">
        <v>74</v>
      </c>
      <c r="BI540">
        <v>7</v>
      </c>
      <c r="BJ540" t="s">
        <v>608</v>
      </c>
      <c r="BK540" t="s">
        <v>744</v>
      </c>
      <c r="BL540" t="s">
        <v>439</v>
      </c>
      <c r="BM540" t="s">
        <v>7373</v>
      </c>
      <c r="BN540" t="s">
        <v>74</v>
      </c>
      <c r="BO540" t="s">
        <v>173</v>
      </c>
      <c r="BP540" t="s">
        <v>74</v>
      </c>
      <c r="BQ540" t="s">
        <v>74</v>
      </c>
      <c r="BR540" t="s">
        <v>107</v>
      </c>
      <c r="BS540" t="s">
        <v>7614</v>
      </c>
      <c r="BT540" t="str">
        <f>HYPERLINK("https%3A%2F%2Fwww.webofscience.com%2Fwos%2Fwoscc%2Ffull-record%2FWOS:000182023600062","View Full Record in Web of Science")</f>
        <v>View Full Record in Web of Science</v>
      </c>
    </row>
    <row r="541" spans="1:72" x14ac:dyDescent="0.15">
      <c r="A541" t="s">
        <v>1051</v>
      </c>
      <c r="B541" t="s">
        <v>7615</v>
      </c>
      <c r="C541" t="s">
        <v>74</v>
      </c>
      <c r="D541" t="s">
        <v>7359</v>
      </c>
      <c r="E541" t="s">
        <v>74</v>
      </c>
      <c r="F541" t="s">
        <v>7615</v>
      </c>
      <c r="G541" t="s">
        <v>74</v>
      </c>
      <c r="H541" t="s">
        <v>74</v>
      </c>
      <c r="I541" t="s">
        <v>7616</v>
      </c>
      <c r="J541" t="s">
        <v>7361</v>
      </c>
      <c r="K541" t="s">
        <v>7148</v>
      </c>
      <c r="L541" t="s">
        <v>74</v>
      </c>
      <c r="M541" t="s">
        <v>77</v>
      </c>
      <c r="N541" t="s">
        <v>78</v>
      </c>
      <c r="O541" t="s">
        <v>7362</v>
      </c>
      <c r="P541" t="s">
        <v>7363</v>
      </c>
      <c r="Q541" t="s">
        <v>7364</v>
      </c>
      <c r="R541" t="s">
        <v>74</v>
      </c>
      <c r="S541" t="s">
        <v>74</v>
      </c>
      <c r="T541" t="s">
        <v>74</v>
      </c>
      <c r="U541" t="s">
        <v>7617</v>
      </c>
      <c r="V541" t="s">
        <v>7618</v>
      </c>
      <c r="W541" t="s">
        <v>7619</v>
      </c>
      <c r="X541" t="s">
        <v>7620</v>
      </c>
      <c r="Y541" t="s">
        <v>2514</v>
      </c>
      <c r="Z541" t="s">
        <v>7621</v>
      </c>
      <c r="AA541" t="s">
        <v>7622</v>
      </c>
      <c r="AB541" t="s">
        <v>74</v>
      </c>
      <c r="AC541" t="s">
        <v>74</v>
      </c>
      <c r="AD541" t="s">
        <v>74</v>
      </c>
      <c r="AE541" t="s">
        <v>74</v>
      </c>
      <c r="AF541" t="s">
        <v>74</v>
      </c>
      <c r="AG541">
        <v>45</v>
      </c>
      <c r="AH541">
        <v>43</v>
      </c>
      <c r="AI541">
        <v>51</v>
      </c>
      <c r="AJ541">
        <v>0</v>
      </c>
      <c r="AK541">
        <v>8</v>
      </c>
      <c r="AL541" t="s">
        <v>7160</v>
      </c>
      <c r="AM541" t="s">
        <v>5426</v>
      </c>
      <c r="AN541" t="s">
        <v>7161</v>
      </c>
      <c r="AO541" t="s">
        <v>7162</v>
      </c>
      <c r="AP541" t="s">
        <v>74</v>
      </c>
      <c r="AQ541" t="s">
        <v>7371</v>
      </c>
      <c r="AR541" t="s">
        <v>7164</v>
      </c>
      <c r="AS541" t="s">
        <v>74</v>
      </c>
      <c r="AT541" t="s">
        <v>74</v>
      </c>
      <c r="AU541">
        <v>2002</v>
      </c>
      <c r="AV541">
        <v>35</v>
      </c>
      <c r="AW541" t="s">
        <v>74</v>
      </c>
      <c r="AX541" t="s">
        <v>74</v>
      </c>
      <c r="AY541" t="s">
        <v>74</v>
      </c>
      <c r="AZ541" t="s">
        <v>74</v>
      </c>
      <c r="BA541" t="s">
        <v>74</v>
      </c>
      <c r="BB541">
        <v>430</v>
      </c>
      <c r="BC541">
        <v>436</v>
      </c>
      <c r="BD541" t="s">
        <v>74</v>
      </c>
      <c r="BE541" t="s">
        <v>7623</v>
      </c>
      <c r="BF541" t="str">
        <f>HYPERLINK("http://dx.doi.org/10.3189/172756402781817149","http://dx.doi.org/10.3189/172756402781817149")</f>
        <v>http://dx.doi.org/10.3189/172756402781817149</v>
      </c>
      <c r="BG541" t="s">
        <v>74</v>
      </c>
      <c r="BH541" t="s">
        <v>74</v>
      </c>
      <c r="BI541">
        <v>7</v>
      </c>
      <c r="BJ541" t="s">
        <v>608</v>
      </c>
      <c r="BK541" t="s">
        <v>744</v>
      </c>
      <c r="BL541" t="s">
        <v>439</v>
      </c>
      <c r="BM541" t="s">
        <v>7373</v>
      </c>
      <c r="BN541" t="s">
        <v>74</v>
      </c>
      <c r="BO541" t="s">
        <v>1767</v>
      </c>
      <c r="BP541" t="s">
        <v>74</v>
      </c>
      <c r="BQ541" t="s">
        <v>74</v>
      </c>
      <c r="BR541" t="s">
        <v>107</v>
      </c>
      <c r="BS541" t="s">
        <v>7624</v>
      </c>
      <c r="BT541" t="str">
        <f>HYPERLINK("https%3A%2F%2Fwww.webofscience.com%2Fwos%2Fwoscc%2Ffull-record%2FWOS:000182023600069","View Full Record in Web of Science")</f>
        <v>View Full Record in Web of Science</v>
      </c>
    </row>
    <row r="542" spans="1:72" x14ac:dyDescent="0.15">
      <c r="A542" t="s">
        <v>1051</v>
      </c>
      <c r="B542" t="s">
        <v>7625</v>
      </c>
      <c r="C542" t="s">
        <v>74</v>
      </c>
      <c r="D542" t="s">
        <v>7359</v>
      </c>
      <c r="E542" t="s">
        <v>74</v>
      </c>
      <c r="F542" t="s">
        <v>7625</v>
      </c>
      <c r="G542" t="s">
        <v>74</v>
      </c>
      <c r="H542" t="s">
        <v>74</v>
      </c>
      <c r="I542" t="s">
        <v>7626</v>
      </c>
      <c r="J542" t="s">
        <v>7361</v>
      </c>
      <c r="K542" t="s">
        <v>7148</v>
      </c>
      <c r="L542" t="s">
        <v>74</v>
      </c>
      <c r="M542" t="s">
        <v>77</v>
      </c>
      <c r="N542" t="s">
        <v>78</v>
      </c>
      <c r="O542" t="s">
        <v>7362</v>
      </c>
      <c r="P542" t="s">
        <v>7363</v>
      </c>
      <c r="Q542" t="s">
        <v>7364</v>
      </c>
      <c r="R542" t="s">
        <v>74</v>
      </c>
      <c r="S542" t="s">
        <v>74</v>
      </c>
      <c r="T542" t="s">
        <v>74</v>
      </c>
      <c r="U542" t="s">
        <v>7627</v>
      </c>
      <c r="V542" t="s">
        <v>7628</v>
      </c>
      <c r="W542" t="s">
        <v>7629</v>
      </c>
      <c r="X542" t="s">
        <v>7630</v>
      </c>
      <c r="Y542" t="s">
        <v>7631</v>
      </c>
      <c r="Z542" t="s">
        <v>7632</v>
      </c>
      <c r="AA542" t="s">
        <v>7633</v>
      </c>
      <c r="AB542" t="s">
        <v>7417</v>
      </c>
      <c r="AC542" t="s">
        <v>74</v>
      </c>
      <c r="AD542" t="s">
        <v>74</v>
      </c>
      <c r="AE542" t="s">
        <v>74</v>
      </c>
      <c r="AF542" t="s">
        <v>74</v>
      </c>
      <c r="AG542">
        <v>42</v>
      </c>
      <c r="AH542">
        <v>51</v>
      </c>
      <c r="AI542">
        <v>53</v>
      </c>
      <c r="AJ542">
        <v>1</v>
      </c>
      <c r="AK542">
        <v>15</v>
      </c>
      <c r="AL542" t="s">
        <v>7160</v>
      </c>
      <c r="AM542" t="s">
        <v>5426</v>
      </c>
      <c r="AN542" t="s">
        <v>7161</v>
      </c>
      <c r="AO542" t="s">
        <v>7162</v>
      </c>
      <c r="AP542" t="s">
        <v>74</v>
      </c>
      <c r="AQ542" t="s">
        <v>7371</v>
      </c>
      <c r="AR542" t="s">
        <v>7164</v>
      </c>
      <c r="AS542" t="s">
        <v>74</v>
      </c>
      <c r="AT542" t="s">
        <v>74</v>
      </c>
      <c r="AU542">
        <v>2002</v>
      </c>
      <c r="AV542">
        <v>35</v>
      </c>
      <c r="AW542" t="s">
        <v>74</v>
      </c>
      <c r="AX542" t="s">
        <v>74</v>
      </c>
      <c r="AY542" t="s">
        <v>74</v>
      </c>
      <c r="AZ542" t="s">
        <v>74</v>
      </c>
      <c r="BA542" t="s">
        <v>74</v>
      </c>
      <c r="BB542">
        <v>451</v>
      </c>
      <c r="BC542">
        <v>456</v>
      </c>
      <c r="BD542" t="s">
        <v>74</v>
      </c>
      <c r="BE542" t="s">
        <v>7634</v>
      </c>
      <c r="BF542" t="str">
        <f>HYPERLINK("http://dx.doi.org/10.3189/172756402781817211","http://dx.doi.org/10.3189/172756402781817211")</f>
        <v>http://dx.doi.org/10.3189/172756402781817211</v>
      </c>
      <c r="BG542" t="s">
        <v>74</v>
      </c>
      <c r="BH542" t="s">
        <v>74</v>
      </c>
      <c r="BI542">
        <v>6</v>
      </c>
      <c r="BJ542" t="s">
        <v>608</v>
      </c>
      <c r="BK542" t="s">
        <v>744</v>
      </c>
      <c r="BL542" t="s">
        <v>439</v>
      </c>
      <c r="BM542" t="s">
        <v>7373</v>
      </c>
      <c r="BN542" t="s">
        <v>74</v>
      </c>
      <c r="BO542" t="s">
        <v>173</v>
      </c>
      <c r="BP542" t="s">
        <v>74</v>
      </c>
      <c r="BQ542" t="s">
        <v>74</v>
      </c>
      <c r="BR542" t="s">
        <v>107</v>
      </c>
      <c r="BS542" t="s">
        <v>7635</v>
      </c>
      <c r="BT542" t="str">
        <f>HYPERLINK("https%3A%2F%2Fwww.webofscience.com%2Fwos%2Fwoscc%2Ffull-record%2FWOS:000182023600072","View Full Record in Web of Science")</f>
        <v>View Full Record in Web of Science</v>
      </c>
    </row>
    <row r="543" spans="1:72" x14ac:dyDescent="0.15">
      <c r="A543" t="s">
        <v>1051</v>
      </c>
      <c r="B543" t="s">
        <v>7636</v>
      </c>
      <c r="C543" t="s">
        <v>74</v>
      </c>
      <c r="D543" t="s">
        <v>7359</v>
      </c>
      <c r="E543" t="s">
        <v>74</v>
      </c>
      <c r="F543" t="s">
        <v>7636</v>
      </c>
      <c r="G543" t="s">
        <v>74</v>
      </c>
      <c r="H543" t="s">
        <v>74</v>
      </c>
      <c r="I543" t="s">
        <v>7637</v>
      </c>
      <c r="J543" t="s">
        <v>7361</v>
      </c>
      <c r="K543" t="s">
        <v>7148</v>
      </c>
      <c r="L543" t="s">
        <v>74</v>
      </c>
      <c r="M543" t="s">
        <v>77</v>
      </c>
      <c r="N543" t="s">
        <v>78</v>
      </c>
      <c r="O543" t="s">
        <v>7362</v>
      </c>
      <c r="P543" t="s">
        <v>7363</v>
      </c>
      <c r="Q543" t="s">
        <v>7364</v>
      </c>
      <c r="R543" t="s">
        <v>74</v>
      </c>
      <c r="S543" t="s">
        <v>74</v>
      </c>
      <c r="T543" t="s">
        <v>74</v>
      </c>
      <c r="U543" t="s">
        <v>7638</v>
      </c>
      <c r="V543" t="s">
        <v>7639</v>
      </c>
      <c r="W543" t="s">
        <v>7640</v>
      </c>
      <c r="X543" t="s">
        <v>1951</v>
      </c>
      <c r="Y543" t="s">
        <v>7641</v>
      </c>
      <c r="Z543" t="s">
        <v>7642</v>
      </c>
      <c r="AA543" t="s">
        <v>7643</v>
      </c>
      <c r="AB543" t="s">
        <v>7644</v>
      </c>
      <c r="AC543" t="s">
        <v>74</v>
      </c>
      <c r="AD543" t="s">
        <v>74</v>
      </c>
      <c r="AE543" t="s">
        <v>74</v>
      </c>
      <c r="AF543" t="s">
        <v>74</v>
      </c>
      <c r="AG543">
        <v>20</v>
      </c>
      <c r="AH543">
        <v>19</v>
      </c>
      <c r="AI543">
        <v>21</v>
      </c>
      <c r="AJ543">
        <v>0</v>
      </c>
      <c r="AK543">
        <v>1</v>
      </c>
      <c r="AL543" t="s">
        <v>7160</v>
      </c>
      <c r="AM543" t="s">
        <v>5426</v>
      </c>
      <c r="AN543" t="s">
        <v>7161</v>
      </c>
      <c r="AO543" t="s">
        <v>7162</v>
      </c>
      <c r="AP543" t="s">
        <v>74</v>
      </c>
      <c r="AQ543" t="s">
        <v>7371</v>
      </c>
      <c r="AR543" t="s">
        <v>7164</v>
      </c>
      <c r="AS543" t="s">
        <v>74</v>
      </c>
      <c r="AT543" t="s">
        <v>74</v>
      </c>
      <c r="AU543">
        <v>2002</v>
      </c>
      <c r="AV543">
        <v>35</v>
      </c>
      <c r="AW543" t="s">
        <v>74</v>
      </c>
      <c r="AX543" t="s">
        <v>74</v>
      </c>
      <c r="AY543" t="s">
        <v>74</v>
      </c>
      <c r="AZ543" t="s">
        <v>74</v>
      </c>
      <c r="BA543" t="s">
        <v>74</v>
      </c>
      <c r="BB543">
        <v>463</v>
      </c>
      <c r="BC543">
        <v>470</v>
      </c>
      <c r="BD543" t="s">
        <v>74</v>
      </c>
      <c r="BE543" t="s">
        <v>7645</v>
      </c>
      <c r="BF543" t="str">
        <f>HYPERLINK("http://dx.doi.org/10.3189/172756402781816780","http://dx.doi.org/10.3189/172756402781816780")</f>
        <v>http://dx.doi.org/10.3189/172756402781816780</v>
      </c>
      <c r="BG543" t="s">
        <v>74</v>
      </c>
      <c r="BH543" t="s">
        <v>74</v>
      </c>
      <c r="BI543">
        <v>8</v>
      </c>
      <c r="BJ543" t="s">
        <v>608</v>
      </c>
      <c r="BK543" t="s">
        <v>744</v>
      </c>
      <c r="BL543" t="s">
        <v>439</v>
      </c>
      <c r="BM543" t="s">
        <v>7373</v>
      </c>
      <c r="BN543" t="s">
        <v>74</v>
      </c>
      <c r="BO543" t="s">
        <v>173</v>
      </c>
      <c r="BP543" t="s">
        <v>74</v>
      </c>
      <c r="BQ543" t="s">
        <v>74</v>
      </c>
      <c r="BR543" t="s">
        <v>107</v>
      </c>
      <c r="BS543" t="s">
        <v>7646</v>
      </c>
      <c r="BT543" t="str">
        <f>HYPERLINK("https%3A%2F%2Fwww.webofscience.com%2Fwos%2Fwoscc%2Ffull-record%2FWOS:000182023600074","View Full Record in Web of Science")</f>
        <v>View Full Record in Web of Science</v>
      </c>
    </row>
    <row r="544" spans="1:72" x14ac:dyDescent="0.15">
      <c r="A544" t="s">
        <v>1051</v>
      </c>
      <c r="B544" t="s">
        <v>7647</v>
      </c>
      <c r="C544" t="s">
        <v>74</v>
      </c>
      <c r="D544" t="s">
        <v>7359</v>
      </c>
      <c r="E544" t="s">
        <v>74</v>
      </c>
      <c r="F544" t="s">
        <v>7647</v>
      </c>
      <c r="G544" t="s">
        <v>74</v>
      </c>
      <c r="H544" t="s">
        <v>74</v>
      </c>
      <c r="I544" t="s">
        <v>7648</v>
      </c>
      <c r="J544" t="s">
        <v>7361</v>
      </c>
      <c r="K544" t="s">
        <v>7148</v>
      </c>
      <c r="L544" t="s">
        <v>74</v>
      </c>
      <c r="M544" t="s">
        <v>77</v>
      </c>
      <c r="N544" t="s">
        <v>78</v>
      </c>
      <c r="O544" t="s">
        <v>7362</v>
      </c>
      <c r="P544" t="s">
        <v>7363</v>
      </c>
      <c r="Q544" t="s">
        <v>7364</v>
      </c>
      <c r="R544" t="s">
        <v>74</v>
      </c>
      <c r="S544" t="s">
        <v>74</v>
      </c>
      <c r="T544" t="s">
        <v>74</v>
      </c>
      <c r="U544" t="s">
        <v>7649</v>
      </c>
      <c r="V544" t="s">
        <v>7650</v>
      </c>
      <c r="W544" t="s">
        <v>7651</v>
      </c>
      <c r="X544" t="s">
        <v>1758</v>
      </c>
      <c r="Y544" t="s">
        <v>7652</v>
      </c>
      <c r="Z544" t="s">
        <v>7653</v>
      </c>
      <c r="AA544" t="s">
        <v>7654</v>
      </c>
      <c r="AB544" t="s">
        <v>7655</v>
      </c>
      <c r="AC544" t="s">
        <v>74</v>
      </c>
      <c r="AD544" t="s">
        <v>74</v>
      </c>
      <c r="AE544" t="s">
        <v>74</v>
      </c>
      <c r="AF544" t="s">
        <v>74</v>
      </c>
      <c r="AG544">
        <v>41</v>
      </c>
      <c r="AH544">
        <v>27</v>
      </c>
      <c r="AI544">
        <v>29</v>
      </c>
      <c r="AJ544">
        <v>2</v>
      </c>
      <c r="AK544">
        <v>9</v>
      </c>
      <c r="AL544" t="s">
        <v>7160</v>
      </c>
      <c r="AM544" t="s">
        <v>5426</v>
      </c>
      <c r="AN544" t="s">
        <v>7161</v>
      </c>
      <c r="AO544" t="s">
        <v>7162</v>
      </c>
      <c r="AP544" t="s">
        <v>74</v>
      </c>
      <c r="AQ544" t="s">
        <v>7371</v>
      </c>
      <c r="AR544" t="s">
        <v>7164</v>
      </c>
      <c r="AS544" t="s">
        <v>74</v>
      </c>
      <c r="AT544" t="s">
        <v>74</v>
      </c>
      <c r="AU544">
        <v>2002</v>
      </c>
      <c r="AV544">
        <v>35</v>
      </c>
      <c r="AW544" t="s">
        <v>74</v>
      </c>
      <c r="AX544" t="s">
        <v>74</v>
      </c>
      <c r="AY544" t="s">
        <v>74</v>
      </c>
      <c r="AZ544" t="s">
        <v>74</v>
      </c>
      <c r="BA544" t="s">
        <v>74</v>
      </c>
      <c r="BB544">
        <v>552</v>
      </c>
      <c r="BC544">
        <v>558</v>
      </c>
      <c r="BD544" t="s">
        <v>74</v>
      </c>
      <c r="BE544" t="s">
        <v>7656</v>
      </c>
      <c r="BF544" t="str">
        <f>HYPERLINK("http://dx.doi.org/10.3189/172756402781816573","http://dx.doi.org/10.3189/172756402781816573")</f>
        <v>http://dx.doi.org/10.3189/172756402781816573</v>
      </c>
      <c r="BG544" t="s">
        <v>74</v>
      </c>
      <c r="BH544" t="s">
        <v>74</v>
      </c>
      <c r="BI544">
        <v>7</v>
      </c>
      <c r="BJ544" t="s">
        <v>608</v>
      </c>
      <c r="BK544" t="s">
        <v>744</v>
      </c>
      <c r="BL544" t="s">
        <v>439</v>
      </c>
      <c r="BM544" t="s">
        <v>7373</v>
      </c>
      <c r="BN544" t="s">
        <v>74</v>
      </c>
      <c r="BO544" t="s">
        <v>173</v>
      </c>
      <c r="BP544" t="s">
        <v>74</v>
      </c>
      <c r="BQ544" t="s">
        <v>74</v>
      </c>
      <c r="BR544" t="s">
        <v>107</v>
      </c>
      <c r="BS544" t="s">
        <v>7657</v>
      </c>
      <c r="BT544" t="str">
        <f>HYPERLINK("https%3A%2F%2Fwww.webofscience.com%2Fwos%2Fwoscc%2Ffull-record%2FWOS:000182023600087","View Full Record in Web of Science")</f>
        <v>View Full Record in Web of Science</v>
      </c>
    </row>
    <row r="545" spans="1:72" x14ac:dyDescent="0.15">
      <c r="A545" t="s">
        <v>1051</v>
      </c>
      <c r="B545" t="s">
        <v>7658</v>
      </c>
      <c r="C545" t="s">
        <v>74</v>
      </c>
      <c r="D545" t="s">
        <v>7359</v>
      </c>
      <c r="E545" t="s">
        <v>74</v>
      </c>
      <c r="F545" t="s">
        <v>7658</v>
      </c>
      <c r="G545" t="s">
        <v>74</v>
      </c>
      <c r="H545" t="s">
        <v>74</v>
      </c>
      <c r="I545" t="s">
        <v>7659</v>
      </c>
      <c r="J545" t="s">
        <v>7361</v>
      </c>
      <c r="K545" t="s">
        <v>7148</v>
      </c>
      <c r="L545" t="s">
        <v>74</v>
      </c>
      <c r="M545" t="s">
        <v>77</v>
      </c>
      <c r="N545" t="s">
        <v>78</v>
      </c>
      <c r="O545" t="s">
        <v>7362</v>
      </c>
      <c r="P545" t="s">
        <v>7363</v>
      </c>
      <c r="Q545" t="s">
        <v>7364</v>
      </c>
      <c r="R545" t="s">
        <v>74</v>
      </c>
      <c r="S545" t="s">
        <v>74</v>
      </c>
      <c r="T545" t="s">
        <v>74</v>
      </c>
      <c r="U545" t="s">
        <v>7660</v>
      </c>
      <c r="V545" t="s">
        <v>7661</v>
      </c>
      <c r="W545" t="s">
        <v>851</v>
      </c>
      <c r="X545" t="s">
        <v>852</v>
      </c>
      <c r="Y545" t="s">
        <v>3355</v>
      </c>
      <c r="Z545" t="s">
        <v>7662</v>
      </c>
      <c r="AA545" t="s">
        <v>6530</v>
      </c>
      <c r="AB545" t="s">
        <v>6531</v>
      </c>
      <c r="AC545" t="s">
        <v>7454</v>
      </c>
      <c r="AD545" t="s">
        <v>5343</v>
      </c>
      <c r="AE545" t="s">
        <v>74</v>
      </c>
      <c r="AF545" t="s">
        <v>74</v>
      </c>
      <c r="AG545">
        <v>28</v>
      </c>
      <c r="AH545">
        <v>32</v>
      </c>
      <c r="AI545">
        <v>33</v>
      </c>
      <c r="AJ545">
        <v>0</v>
      </c>
      <c r="AK545">
        <v>16</v>
      </c>
      <c r="AL545" t="s">
        <v>7160</v>
      </c>
      <c r="AM545" t="s">
        <v>5426</v>
      </c>
      <c r="AN545" t="s">
        <v>7161</v>
      </c>
      <c r="AO545" t="s">
        <v>7162</v>
      </c>
      <c r="AP545" t="s">
        <v>74</v>
      </c>
      <c r="AQ545" t="s">
        <v>7371</v>
      </c>
      <c r="AR545" t="s">
        <v>7164</v>
      </c>
      <c r="AS545" t="s">
        <v>74</v>
      </c>
      <c r="AT545" t="s">
        <v>74</v>
      </c>
      <c r="AU545">
        <v>2002</v>
      </c>
      <c r="AV545">
        <v>35</v>
      </c>
      <c r="AW545" t="s">
        <v>74</v>
      </c>
      <c r="AX545" t="s">
        <v>74</v>
      </c>
      <c r="AY545" t="s">
        <v>74</v>
      </c>
      <c r="AZ545" t="s">
        <v>74</v>
      </c>
      <c r="BA545" t="s">
        <v>74</v>
      </c>
      <c r="BB545">
        <v>559</v>
      </c>
      <c r="BC545">
        <v>566</v>
      </c>
      <c r="BD545" t="s">
        <v>74</v>
      </c>
      <c r="BE545" t="s">
        <v>7663</v>
      </c>
      <c r="BF545" t="str">
        <f>HYPERLINK("http://dx.doi.org/10.3189/172756402781816735","http://dx.doi.org/10.3189/172756402781816735")</f>
        <v>http://dx.doi.org/10.3189/172756402781816735</v>
      </c>
      <c r="BG545" t="s">
        <v>74</v>
      </c>
      <c r="BH545" t="s">
        <v>74</v>
      </c>
      <c r="BI545">
        <v>8</v>
      </c>
      <c r="BJ545" t="s">
        <v>608</v>
      </c>
      <c r="BK545" t="s">
        <v>744</v>
      </c>
      <c r="BL545" t="s">
        <v>439</v>
      </c>
      <c r="BM545" t="s">
        <v>7373</v>
      </c>
      <c r="BN545" t="s">
        <v>74</v>
      </c>
      <c r="BO545" t="s">
        <v>173</v>
      </c>
      <c r="BP545" t="s">
        <v>74</v>
      </c>
      <c r="BQ545" t="s">
        <v>74</v>
      </c>
      <c r="BR545" t="s">
        <v>107</v>
      </c>
      <c r="BS545" t="s">
        <v>7664</v>
      </c>
      <c r="BT545" t="str">
        <f>HYPERLINK("https%3A%2F%2Fwww.webofscience.com%2Fwos%2Fwoscc%2Ffull-record%2FWOS:000182023600088","View Full Record in Web of Science")</f>
        <v>View Full Record in Web of Science</v>
      </c>
    </row>
    <row r="546" spans="1:72" x14ac:dyDescent="0.15">
      <c r="A546" t="s">
        <v>1051</v>
      </c>
      <c r="B546" t="s">
        <v>7665</v>
      </c>
      <c r="C546" t="s">
        <v>74</v>
      </c>
      <c r="D546" t="s">
        <v>7359</v>
      </c>
      <c r="E546" t="s">
        <v>74</v>
      </c>
      <c r="F546" t="s">
        <v>7665</v>
      </c>
      <c r="G546" t="s">
        <v>74</v>
      </c>
      <c r="H546" t="s">
        <v>74</v>
      </c>
      <c r="I546" t="s">
        <v>7666</v>
      </c>
      <c r="J546" t="s">
        <v>7361</v>
      </c>
      <c r="K546" t="s">
        <v>7148</v>
      </c>
      <c r="L546" t="s">
        <v>74</v>
      </c>
      <c r="M546" t="s">
        <v>77</v>
      </c>
      <c r="N546" t="s">
        <v>78</v>
      </c>
      <c r="O546" t="s">
        <v>7362</v>
      </c>
      <c r="P546" t="s">
        <v>7363</v>
      </c>
      <c r="Q546" t="s">
        <v>7364</v>
      </c>
      <c r="R546" t="s">
        <v>74</v>
      </c>
      <c r="S546" t="s">
        <v>74</v>
      </c>
      <c r="T546" t="s">
        <v>74</v>
      </c>
      <c r="U546" t="s">
        <v>7667</v>
      </c>
      <c r="V546" t="s">
        <v>7668</v>
      </c>
      <c r="W546" t="s">
        <v>7669</v>
      </c>
      <c r="X546" t="s">
        <v>7670</v>
      </c>
      <c r="Y546" t="s">
        <v>7671</v>
      </c>
      <c r="Z546" t="s">
        <v>7672</v>
      </c>
      <c r="AA546" t="s">
        <v>7673</v>
      </c>
      <c r="AB546" t="s">
        <v>7674</v>
      </c>
      <c r="AC546" t="s">
        <v>74</v>
      </c>
      <c r="AD546" t="s">
        <v>74</v>
      </c>
      <c r="AE546" t="s">
        <v>74</v>
      </c>
      <c r="AF546" t="s">
        <v>74</v>
      </c>
      <c r="AG546">
        <v>26</v>
      </c>
      <c r="AH546">
        <v>10</v>
      </c>
      <c r="AI546">
        <v>10</v>
      </c>
      <c r="AJ546">
        <v>0</v>
      </c>
      <c r="AK546">
        <v>8</v>
      </c>
      <c r="AL546" t="s">
        <v>7160</v>
      </c>
      <c r="AM546" t="s">
        <v>5426</v>
      </c>
      <c r="AN546" t="s">
        <v>7161</v>
      </c>
      <c r="AO546" t="s">
        <v>7162</v>
      </c>
      <c r="AP546" t="s">
        <v>74</v>
      </c>
      <c r="AQ546" t="s">
        <v>7371</v>
      </c>
      <c r="AR546" t="s">
        <v>7164</v>
      </c>
      <c r="AS546" t="s">
        <v>74</v>
      </c>
      <c r="AT546" t="s">
        <v>74</v>
      </c>
      <c r="AU546">
        <v>2002</v>
      </c>
      <c r="AV546">
        <v>35</v>
      </c>
      <c r="AW546" t="s">
        <v>74</v>
      </c>
      <c r="AX546" t="s">
        <v>74</v>
      </c>
      <c r="AY546" t="s">
        <v>74</v>
      </c>
      <c r="AZ546" t="s">
        <v>74</v>
      </c>
      <c r="BA546" t="s">
        <v>74</v>
      </c>
      <c r="BB546">
        <v>567</v>
      </c>
      <c r="BC546">
        <v>573</v>
      </c>
      <c r="BD546" t="s">
        <v>74</v>
      </c>
      <c r="BE546" t="s">
        <v>7675</v>
      </c>
      <c r="BF546" t="str">
        <f>HYPERLINK("http://dx.doi.org/10.3189/172756402781816924","http://dx.doi.org/10.3189/172756402781816924")</f>
        <v>http://dx.doi.org/10.3189/172756402781816924</v>
      </c>
      <c r="BG546" t="s">
        <v>74</v>
      </c>
      <c r="BH546" t="s">
        <v>74</v>
      </c>
      <c r="BI546">
        <v>7</v>
      </c>
      <c r="BJ546" t="s">
        <v>608</v>
      </c>
      <c r="BK546" t="s">
        <v>744</v>
      </c>
      <c r="BL546" t="s">
        <v>439</v>
      </c>
      <c r="BM546" t="s">
        <v>7373</v>
      </c>
      <c r="BN546" t="s">
        <v>74</v>
      </c>
      <c r="BO546" t="s">
        <v>173</v>
      </c>
      <c r="BP546" t="s">
        <v>74</v>
      </c>
      <c r="BQ546" t="s">
        <v>74</v>
      </c>
      <c r="BR546" t="s">
        <v>107</v>
      </c>
      <c r="BS546" t="s">
        <v>7676</v>
      </c>
      <c r="BT546" t="str">
        <f>HYPERLINK("https%3A%2F%2Fwww.webofscience.com%2Fwos%2Fwoscc%2Ffull-record%2FWOS:000182023600089","View Full Record in Web of Science")</f>
        <v>View Full Record in Web of Science</v>
      </c>
    </row>
    <row r="547" spans="1:72" x14ac:dyDescent="0.15">
      <c r="A547" t="s">
        <v>6989</v>
      </c>
      <c r="B547" t="s">
        <v>7677</v>
      </c>
      <c r="C547" t="s">
        <v>74</v>
      </c>
      <c r="D547" t="s">
        <v>7678</v>
      </c>
      <c r="E547" t="s">
        <v>74</v>
      </c>
      <c r="F547" t="s">
        <v>7677</v>
      </c>
      <c r="G547" t="s">
        <v>74</v>
      </c>
      <c r="H547" t="s">
        <v>74</v>
      </c>
      <c r="I547" t="s">
        <v>7679</v>
      </c>
      <c r="J547" t="s">
        <v>7680</v>
      </c>
      <c r="K547" t="s">
        <v>74</v>
      </c>
      <c r="L547" t="s">
        <v>74</v>
      </c>
      <c r="M547" t="s">
        <v>77</v>
      </c>
      <c r="N547" t="s">
        <v>6994</v>
      </c>
      <c r="O547" t="s">
        <v>7681</v>
      </c>
      <c r="P547" t="s">
        <v>7682</v>
      </c>
      <c r="Q547" t="s">
        <v>7683</v>
      </c>
      <c r="R547" t="s">
        <v>74</v>
      </c>
      <c r="S547" t="s">
        <v>74</v>
      </c>
      <c r="T547" t="s">
        <v>74</v>
      </c>
      <c r="U547" t="s">
        <v>7684</v>
      </c>
      <c r="V547" t="s">
        <v>74</v>
      </c>
      <c r="W547" t="s">
        <v>7685</v>
      </c>
      <c r="X547" t="s">
        <v>7686</v>
      </c>
      <c r="Y547" t="s">
        <v>7687</v>
      </c>
      <c r="Z547" t="s">
        <v>74</v>
      </c>
      <c r="AA547" t="s">
        <v>74</v>
      </c>
      <c r="AB547" t="s">
        <v>7688</v>
      </c>
      <c r="AC547" t="s">
        <v>74</v>
      </c>
      <c r="AD547" t="s">
        <v>74</v>
      </c>
      <c r="AE547" t="s">
        <v>74</v>
      </c>
      <c r="AF547" t="s">
        <v>74</v>
      </c>
      <c r="AG547">
        <v>24</v>
      </c>
      <c r="AH547">
        <v>0</v>
      </c>
      <c r="AI547">
        <v>0</v>
      </c>
      <c r="AJ547">
        <v>0</v>
      </c>
      <c r="AK547">
        <v>3</v>
      </c>
      <c r="AL547" t="s">
        <v>7689</v>
      </c>
      <c r="AM547" t="s">
        <v>895</v>
      </c>
      <c r="AN547" t="s">
        <v>7690</v>
      </c>
      <c r="AO547" t="s">
        <v>74</v>
      </c>
      <c r="AP547" t="s">
        <v>74</v>
      </c>
      <c r="AQ547" t="s">
        <v>7691</v>
      </c>
      <c r="AR547" t="s">
        <v>74</v>
      </c>
      <c r="AS547" t="s">
        <v>74</v>
      </c>
      <c r="AT547" t="s">
        <v>74</v>
      </c>
      <c r="AU547">
        <v>2002</v>
      </c>
      <c r="AV547" t="s">
        <v>74</v>
      </c>
      <c r="AW547" t="s">
        <v>74</v>
      </c>
      <c r="AX547" t="s">
        <v>74</v>
      </c>
      <c r="AY547" t="s">
        <v>74</v>
      </c>
      <c r="AZ547" t="s">
        <v>74</v>
      </c>
      <c r="BA547" t="s">
        <v>74</v>
      </c>
      <c r="BB547">
        <v>47</v>
      </c>
      <c r="BC547">
        <v>63</v>
      </c>
      <c r="BD547" t="s">
        <v>74</v>
      </c>
      <c r="BE547" t="s">
        <v>7692</v>
      </c>
      <c r="BF547" t="str">
        <f>HYPERLINK("http://dx.doi.org/10.1002/9780470696743.ch5","http://dx.doi.org/10.1002/9780470696743.ch5")</f>
        <v>http://dx.doi.org/10.1002/9780470696743.ch5</v>
      </c>
      <c r="BG547" t="s">
        <v>74</v>
      </c>
      <c r="BH547" t="s">
        <v>74</v>
      </c>
      <c r="BI547">
        <v>17</v>
      </c>
      <c r="BJ547" t="s">
        <v>1134</v>
      </c>
      <c r="BK547" t="s">
        <v>7004</v>
      </c>
      <c r="BL547" t="s">
        <v>1134</v>
      </c>
      <c r="BM547" t="s">
        <v>7693</v>
      </c>
      <c r="BN547" t="s">
        <v>74</v>
      </c>
      <c r="BO547" t="s">
        <v>74</v>
      </c>
      <c r="BP547" t="s">
        <v>74</v>
      </c>
      <c r="BQ547" t="s">
        <v>74</v>
      </c>
      <c r="BR547" t="s">
        <v>107</v>
      </c>
      <c r="BS547" t="s">
        <v>7694</v>
      </c>
      <c r="BT547" t="str">
        <f>HYPERLINK("https%3A%2F%2Fwww.webofscience.com%2Fwos%2Fwoscc%2Ffull-record%2FWOS:000178037800005","View Full Record in Web of Science")</f>
        <v>View Full Record in Web of Science</v>
      </c>
    </row>
    <row r="548" spans="1:72" x14ac:dyDescent="0.15">
      <c r="A548" t="s">
        <v>72</v>
      </c>
      <c r="B548" t="s">
        <v>7695</v>
      </c>
      <c r="C548" t="s">
        <v>74</v>
      </c>
      <c r="D548" t="s">
        <v>74</v>
      </c>
      <c r="E548" t="s">
        <v>74</v>
      </c>
      <c r="F548" t="s">
        <v>7695</v>
      </c>
      <c r="G548" t="s">
        <v>74</v>
      </c>
      <c r="H548" t="s">
        <v>74</v>
      </c>
      <c r="I548" t="s">
        <v>7696</v>
      </c>
      <c r="J548" t="s">
        <v>867</v>
      </c>
      <c r="K548" t="s">
        <v>74</v>
      </c>
      <c r="L548" t="s">
        <v>74</v>
      </c>
      <c r="M548" t="s">
        <v>77</v>
      </c>
      <c r="N548" t="s">
        <v>153</v>
      </c>
      <c r="O548" t="s">
        <v>74</v>
      </c>
      <c r="P548" t="s">
        <v>74</v>
      </c>
      <c r="Q548" t="s">
        <v>74</v>
      </c>
      <c r="R548" t="s">
        <v>74</v>
      </c>
      <c r="S548" t="s">
        <v>74</v>
      </c>
      <c r="T548" t="s">
        <v>74</v>
      </c>
      <c r="U548" t="s">
        <v>7697</v>
      </c>
      <c r="V548" t="s">
        <v>7698</v>
      </c>
      <c r="W548" t="s">
        <v>7699</v>
      </c>
      <c r="X548" t="s">
        <v>7700</v>
      </c>
      <c r="Y548" t="s">
        <v>7701</v>
      </c>
      <c r="Z548" t="s">
        <v>74</v>
      </c>
      <c r="AA548" t="s">
        <v>74</v>
      </c>
      <c r="AB548" t="s">
        <v>74</v>
      </c>
      <c r="AC548" t="s">
        <v>74</v>
      </c>
      <c r="AD548" t="s">
        <v>74</v>
      </c>
      <c r="AE548" t="s">
        <v>74</v>
      </c>
      <c r="AF548" t="s">
        <v>74</v>
      </c>
      <c r="AG548">
        <v>43</v>
      </c>
      <c r="AH548">
        <v>25</v>
      </c>
      <c r="AI548">
        <v>29</v>
      </c>
      <c r="AJ548">
        <v>0</v>
      </c>
      <c r="AK548">
        <v>3</v>
      </c>
      <c r="AL548" t="s">
        <v>874</v>
      </c>
      <c r="AM548" t="s">
        <v>162</v>
      </c>
      <c r="AN548" t="s">
        <v>875</v>
      </c>
      <c r="AO548" t="s">
        <v>876</v>
      </c>
      <c r="AP548" t="s">
        <v>74</v>
      </c>
      <c r="AQ548" t="s">
        <v>74</v>
      </c>
      <c r="AR548" t="s">
        <v>877</v>
      </c>
      <c r="AS548" t="s">
        <v>878</v>
      </c>
      <c r="AT548" t="s">
        <v>7127</v>
      </c>
      <c r="AU548">
        <v>2002</v>
      </c>
      <c r="AV548">
        <v>68</v>
      </c>
      <c r="AW548">
        <v>1</v>
      </c>
      <c r="AX548" t="s">
        <v>74</v>
      </c>
      <c r="AY548" t="s">
        <v>74</v>
      </c>
      <c r="AZ548" t="s">
        <v>74</v>
      </c>
      <c r="BA548" t="s">
        <v>74</v>
      </c>
      <c r="BB548">
        <v>1</v>
      </c>
      <c r="BC548">
        <v>10</v>
      </c>
      <c r="BD548" t="s">
        <v>74</v>
      </c>
      <c r="BE548" t="s">
        <v>7702</v>
      </c>
      <c r="BF548" t="str">
        <f>HYPERLINK("http://dx.doi.org/10.1128/AEM.68.1.1-10.2002","http://dx.doi.org/10.1128/AEM.68.1.1-10.2002")</f>
        <v>http://dx.doi.org/10.1128/AEM.68.1.1-10.2002</v>
      </c>
      <c r="BG548" t="s">
        <v>74</v>
      </c>
      <c r="BH548" t="s">
        <v>74</v>
      </c>
      <c r="BI548">
        <v>10</v>
      </c>
      <c r="BJ548" t="s">
        <v>880</v>
      </c>
      <c r="BK548" t="s">
        <v>170</v>
      </c>
      <c r="BL548" t="s">
        <v>880</v>
      </c>
      <c r="BM548" t="s">
        <v>7703</v>
      </c>
      <c r="BN548">
        <v>11772602</v>
      </c>
      <c r="BO548" t="s">
        <v>106</v>
      </c>
      <c r="BP548" t="s">
        <v>74</v>
      </c>
      <c r="BQ548" t="s">
        <v>74</v>
      </c>
      <c r="BR548" t="s">
        <v>107</v>
      </c>
      <c r="BS548" t="s">
        <v>7704</v>
      </c>
      <c r="BT548" t="str">
        <f>HYPERLINK("https%3A%2F%2Fwww.webofscience.com%2Fwos%2Fwoscc%2Ffull-record%2FWOS:000173085000001","View Full Record in Web of Science")</f>
        <v>View Full Record in Web of Science</v>
      </c>
    </row>
    <row r="549" spans="1:72" x14ac:dyDescent="0.15">
      <c r="A549" t="s">
        <v>72</v>
      </c>
      <c r="B549" t="s">
        <v>7705</v>
      </c>
      <c r="C549" t="s">
        <v>74</v>
      </c>
      <c r="D549" t="s">
        <v>74</v>
      </c>
      <c r="E549" t="s">
        <v>74</v>
      </c>
      <c r="F549" t="s">
        <v>7705</v>
      </c>
      <c r="G549" t="s">
        <v>74</v>
      </c>
      <c r="H549" t="s">
        <v>74</v>
      </c>
      <c r="I549" t="s">
        <v>7706</v>
      </c>
      <c r="J549" t="s">
        <v>867</v>
      </c>
      <c r="K549" t="s">
        <v>74</v>
      </c>
      <c r="L549" t="s">
        <v>74</v>
      </c>
      <c r="M549" t="s">
        <v>77</v>
      </c>
      <c r="N549" t="s">
        <v>153</v>
      </c>
      <c r="O549" t="s">
        <v>74</v>
      </c>
      <c r="P549" t="s">
        <v>74</v>
      </c>
      <c r="Q549" t="s">
        <v>74</v>
      </c>
      <c r="R549" t="s">
        <v>74</v>
      </c>
      <c r="S549" t="s">
        <v>74</v>
      </c>
      <c r="T549" t="s">
        <v>74</v>
      </c>
      <c r="U549" t="s">
        <v>7707</v>
      </c>
      <c r="V549" t="s">
        <v>7708</v>
      </c>
      <c r="W549" t="s">
        <v>7709</v>
      </c>
      <c r="X549" t="s">
        <v>7710</v>
      </c>
      <c r="Y549" t="s">
        <v>7711</v>
      </c>
      <c r="Z549" t="s">
        <v>74</v>
      </c>
      <c r="AA549" t="s">
        <v>74</v>
      </c>
      <c r="AB549" t="s">
        <v>7712</v>
      </c>
      <c r="AC549" t="s">
        <v>74</v>
      </c>
      <c r="AD549" t="s">
        <v>74</v>
      </c>
      <c r="AE549" t="s">
        <v>74</v>
      </c>
      <c r="AF549" t="s">
        <v>74</v>
      </c>
      <c r="AG549">
        <v>48</v>
      </c>
      <c r="AH549">
        <v>142</v>
      </c>
      <c r="AI549">
        <v>165</v>
      </c>
      <c r="AJ549">
        <v>1</v>
      </c>
      <c r="AK549">
        <v>19</v>
      </c>
      <c r="AL549" t="s">
        <v>874</v>
      </c>
      <c r="AM549" t="s">
        <v>162</v>
      </c>
      <c r="AN549" t="s">
        <v>875</v>
      </c>
      <c r="AO549" t="s">
        <v>876</v>
      </c>
      <c r="AP549" t="s">
        <v>74</v>
      </c>
      <c r="AQ549" t="s">
        <v>74</v>
      </c>
      <c r="AR549" t="s">
        <v>877</v>
      </c>
      <c r="AS549" t="s">
        <v>878</v>
      </c>
      <c r="AT549" t="s">
        <v>7127</v>
      </c>
      <c r="AU549">
        <v>2002</v>
      </c>
      <c r="AV549">
        <v>68</v>
      </c>
      <c r="AW549">
        <v>1</v>
      </c>
      <c r="AX549" t="s">
        <v>74</v>
      </c>
      <c r="AY549" t="s">
        <v>74</v>
      </c>
      <c r="AZ549" t="s">
        <v>74</v>
      </c>
      <c r="BA549" t="s">
        <v>74</v>
      </c>
      <c r="BB549">
        <v>335</v>
      </c>
      <c r="BC549">
        <v>345</v>
      </c>
      <c r="BD549" t="s">
        <v>74</v>
      </c>
      <c r="BE549" t="s">
        <v>7713</v>
      </c>
      <c r="BF549" t="str">
        <f>HYPERLINK("http://dx.doi.org/10.1128/AEM.68.1.335-345.2002","http://dx.doi.org/10.1128/AEM.68.1.335-345.2002")</f>
        <v>http://dx.doi.org/10.1128/AEM.68.1.335-345.2002</v>
      </c>
      <c r="BG549" t="s">
        <v>74</v>
      </c>
      <c r="BH549" t="s">
        <v>74</v>
      </c>
      <c r="BI549">
        <v>11</v>
      </c>
      <c r="BJ549" t="s">
        <v>880</v>
      </c>
      <c r="BK549" t="s">
        <v>170</v>
      </c>
      <c r="BL549" t="s">
        <v>880</v>
      </c>
      <c r="BM549" t="s">
        <v>7703</v>
      </c>
      <c r="BN549">
        <v>11772643</v>
      </c>
      <c r="BO549" t="s">
        <v>106</v>
      </c>
      <c r="BP549" t="s">
        <v>74</v>
      </c>
      <c r="BQ549" t="s">
        <v>74</v>
      </c>
      <c r="BR549" t="s">
        <v>107</v>
      </c>
      <c r="BS549" t="s">
        <v>7714</v>
      </c>
      <c r="BT549" t="str">
        <f>HYPERLINK("https%3A%2F%2Fwww.webofscience.com%2Fwos%2Fwoscc%2Ffull-record%2FWOS:000173085000042","View Full Record in Web of Science")</f>
        <v>View Full Record in Web of Science</v>
      </c>
    </row>
    <row r="550" spans="1:72" x14ac:dyDescent="0.15">
      <c r="A550" t="s">
        <v>72</v>
      </c>
      <c r="B550" t="s">
        <v>7715</v>
      </c>
      <c r="C550" t="s">
        <v>74</v>
      </c>
      <c r="D550" t="s">
        <v>74</v>
      </c>
      <c r="E550" t="s">
        <v>74</v>
      </c>
      <c r="F550" t="s">
        <v>7715</v>
      </c>
      <c r="G550" t="s">
        <v>74</v>
      </c>
      <c r="H550" t="s">
        <v>74</v>
      </c>
      <c r="I550" t="s">
        <v>7716</v>
      </c>
      <c r="J550" t="s">
        <v>7717</v>
      </c>
      <c r="K550" t="s">
        <v>74</v>
      </c>
      <c r="L550" t="s">
        <v>74</v>
      </c>
      <c r="M550" t="s">
        <v>77</v>
      </c>
      <c r="N550" t="s">
        <v>78</v>
      </c>
      <c r="O550" t="s">
        <v>7718</v>
      </c>
      <c r="P550" t="s">
        <v>7719</v>
      </c>
      <c r="Q550" t="s">
        <v>7720</v>
      </c>
      <c r="R550" t="s">
        <v>74</v>
      </c>
      <c r="S550" t="s">
        <v>7721</v>
      </c>
      <c r="T550" t="s">
        <v>7722</v>
      </c>
      <c r="U550" t="s">
        <v>7723</v>
      </c>
      <c r="V550" t="s">
        <v>7724</v>
      </c>
      <c r="W550" t="s">
        <v>7725</v>
      </c>
      <c r="X550" t="s">
        <v>7726</v>
      </c>
      <c r="Y550" t="s">
        <v>7727</v>
      </c>
      <c r="Z550" t="s">
        <v>74</v>
      </c>
      <c r="AA550" t="s">
        <v>74</v>
      </c>
      <c r="AB550" t="s">
        <v>74</v>
      </c>
      <c r="AC550" t="s">
        <v>74</v>
      </c>
      <c r="AD550" t="s">
        <v>74</v>
      </c>
      <c r="AE550" t="s">
        <v>74</v>
      </c>
      <c r="AF550" t="s">
        <v>74</v>
      </c>
      <c r="AG550">
        <v>44</v>
      </c>
      <c r="AH550">
        <v>35</v>
      </c>
      <c r="AI550">
        <v>36</v>
      </c>
      <c r="AJ550">
        <v>0</v>
      </c>
      <c r="AK550">
        <v>20</v>
      </c>
      <c r="AL550" t="s">
        <v>215</v>
      </c>
      <c r="AM550" t="s">
        <v>216</v>
      </c>
      <c r="AN550" t="s">
        <v>217</v>
      </c>
      <c r="AO550" t="s">
        <v>7728</v>
      </c>
      <c r="AP550" t="s">
        <v>74</v>
      </c>
      <c r="AQ550" t="s">
        <v>74</v>
      </c>
      <c r="AR550" t="s">
        <v>7729</v>
      </c>
      <c r="AS550" t="s">
        <v>7730</v>
      </c>
      <c r="AT550" t="s">
        <v>7731</v>
      </c>
      <c r="AU550">
        <v>2002</v>
      </c>
      <c r="AV550">
        <v>12</v>
      </c>
      <c r="AW550">
        <v>1</v>
      </c>
      <c r="AX550" t="s">
        <v>74</v>
      </c>
      <c r="AY550" t="s">
        <v>74</v>
      </c>
      <c r="AZ550" t="s">
        <v>74</v>
      </c>
      <c r="BA550" t="s">
        <v>74</v>
      </c>
      <c r="BB550">
        <v>39</v>
      </c>
      <c r="BC550">
        <v>50</v>
      </c>
      <c r="BD550" t="s">
        <v>74</v>
      </c>
      <c r="BE550" t="s">
        <v>7732</v>
      </c>
      <c r="BF550" t="str">
        <f>HYPERLINK("http://dx.doi.org/10.1002/aqc.474","http://dx.doi.org/10.1002/aqc.474")</f>
        <v>http://dx.doi.org/10.1002/aqc.474</v>
      </c>
      <c r="BG550" t="s">
        <v>74</v>
      </c>
      <c r="BH550" t="s">
        <v>74</v>
      </c>
      <c r="BI550">
        <v>12</v>
      </c>
      <c r="BJ550" t="s">
        <v>7733</v>
      </c>
      <c r="BK550" t="s">
        <v>744</v>
      </c>
      <c r="BL550" t="s">
        <v>7734</v>
      </c>
      <c r="BM550" t="s">
        <v>7735</v>
      </c>
      <c r="BN550" t="s">
        <v>74</v>
      </c>
      <c r="BO550" t="s">
        <v>665</v>
      </c>
      <c r="BP550" t="s">
        <v>74</v>
      </c>
      <c r="BQ550" t="s">
        <v>74</v>
      </c>
      <c r="BR550" t="s">
        <v>107</v>
      </c>
      <c r="BS550" t="s">
        <v>7736</v>
      </c>
      <c r="BT550" t="str">
        <f>HYPERLINK("https%3A%2F%2Fwww.webofscience.com%2Fwos%2Fwoscc%2Ffull-record%2FWOS:000175225000007","View Full Record in Web of Science")</f>
        <v>View Full Record in Web of Science</v>
      </c>
    </row>
    <row r="551" spans="1:72" x14ac:dyDescent="0.15">
      <c r="A551" t="s">
        <v>72</v>
      </c>
      <c r="B551" t="s">
        <v>7737</v>
      </c>
      <c r="C551" t="s">
        <v>74</v>
      </c>
      <c r="D551" t="s">
        <v>74</v>
      </c>
      <c r="E551" t="s">
        <v>74</v>
      </c>
      <c r="F551" t="s">
        <v>7737</v>
      </c>
      <c r="G551" t="s">
        <v>74</v>
      </c>
      <c r="H551" t="s">
        <v>74</v>
      </c>
      <c r="I551" t="s">
        <v>7738</v>
      </c>
      <c r="J551" t="s">
        <v>7717</v>
      </c>
      <c r="K551" t="s">
        <v>74</v>
      </c>
      <c r="L551" t="s">
        <v>74</v>
      </c>
      <c r="M551" t="s">
        <v>77</v>
      </c>
      <c r="N551" t="s">
        <v>78</v>
      </c>
      <c r="O551" t="s">
        <v>7718</v>
      </c>
      <c r="P551" t="s">
        <v>7719</v>
      </c>
      <c r="Q551" t="s">
        <v>7720</v>
      </c>
      <c r="R551" t="s">
        <v>74</v>
      </c>
      <c r="S551" t="s">
        <v>7721</v>
      </c>
      <c r="T551" t="s">
        <v>7739</v>
      </c>
      <c r="U551" t="s">
        <v>7740</v>
      </c>
      <c r="V551" t="s">
        <v>7741</v>
      </c>
      <c r="W551" t="s">
        <v>7742</v>
      </c>
      <c r="X551" t="s">
        <v>74</v>
      </c>
      <c r="Y551" t="s">
        <v>7743</v>
      </c>
      <c r="Z551" t="s">
        <v>7744</v>
      </c>
      <c r="AA551" t="s">
        <v>74</v>
      </c>
      <c r="AB551" t="s">
        <v>7745</v>
      </c>
      <c r="AC551" t="s">
        <v>74</v>
      </c>
      <c r="AD551" t="s">
        <v>74</v>
      </c>
      <c r="AE551" t="s">
        <v>74</v>
      </c>
      <c r="AF551" t="s">
        <v>74</v>
      </c>
      <c r="AG551">
        <v>26</v>
      </c>
      <c r="AH551">
        <v>71</v>
      </c>
      <c r="AI551">
        <v>75</v>
      </c>
      <c r="AJ551">
        <v>0</v>
      </c>
      <c r="AK551">
        <v>21</v>
      </c>
      <c r="AL551" t="s">
        <v>394</v>
      </c>
      <c r="AM551" t="s">
        <v>395</v>
      </c>
      <c r="AN551" t="s">
        <v>396</v>
      </c>
      <c r="AO551" t="s">
        <v>7728</v>
      </c>
      <c r="AP551" t="s">
        <v>7746</v>
      </c>
      <c r="AQ551" t="s">
        <v>74</v>
      </c>
      <c r="AR551" t="s">
        <v>7729</v>
      </c>
      <c r="AS551" t="s">
        <v>7730</v>
      </c>
      <c r="AT551" t="s">
        <v>7731</v>
      </c>
      <c r="AU551">
        <v>2002</v>
      </c>
      <c r="AV551">
        <v>12</v>
      </c>
      <c r="AW551">
        <v>1</v>
      </c>
      <c r="AX551" t="s">
        <v>74</v>
      </c>
      <c r="AY551" t="s">
        <v>74</v>
      </c>
      <c r="AZ551" t="s">
        <v>74</v>
      </c>
      <c r="BA551" t="s">
        <v>74</v>
      </c>
      <c r="BB551">
        <v>51</v>
      </c>
      <c r="BC551">
        <v>61</v>
      </c>
      <c r="BD551" t="s">
        <v>74</v>
      </c>
      <c r="BE551" t="s">
        <v>7747</v>
      </c>
      <c r="BF551" t="str">
        <f>HYPERLINK("http://dx.doi.org/10.1002/aqc.476","http://dx.doi.org/10.1002/aqc.476")</f>
        <v>http://dx.doi.org/10.1002/aqc.476</v>
      </c>
      <c r="BG551" t="s">
        <v>74</v>
      </c>
      <c r="BH551" t="s">
        <v>74</v>
      </c>
      <c r="BI551">
        <v>11</v>
      </c>
      <c r="BJ551" t="s">
        <v>7733</v>
      </c>
      <c r="BK551" t="s">
        <v>103</v>
      </c>
      <c r="BL551" t="s">
        <v>7734</v>
      </c>
      <c r="BM551" t="s">
        <v>7735</v>
      </c>
      <c r="BN551" t="s">
        <v>74</v>
      </c>
      <c r="BO551" t="s">
        <v>74</v>
      </c>
      <c r="BP551" t="s">
        <v>74</v>
      </c>
      <c r="BQ551" t="s">
        <v>74</v>
      </c>
      <c r="BR551" t="s">
        <v>107</v>
      </c>
      <c r="BS551" t="s">
        <v>7748</v>
      </c>
      <c r="BT551" t="str">
        <f>HYPERLINK("https%3A%2F%2Fwww.webofscience.com%2Fwos%2Fwoscc%2Ffull-record%2FWOS:000175225000008","View Full Record in Web of Science")</f>
        <v>View Full Record in Web of Science</v>
      </c>
    </row>
    <row r="552" spans="1:72" x14ac:dyDescent="0.15">
      <c r="A552" t="s">
        <v>72</v>
      </c>
      <c r="B552" t="s">
        <v>7749</v>
      </c>
      <c r="C552" t="s">
        <v>74</v>
      </c>
      <c r="D552" t="s">
        <v>74</v>
      </c>
      <c r="E552" t="s">
        <v>74</v>
      </c>
      <c r="F552" t="s">
        <v>7749</v>
      </c>
      <c r="G552" t="s">
        <v>74</v>
      </c>
      <c r="H552" t="s">
        <v>74</v>
      </c>
      <c r="I552" t="s">
        <v>7750</v>
      </c>
      <c r="J552" t="s">
        <v>7717</v>
      </c>
      <c r="K552" t="s">
        <v>74</v>
      </c>
      <c r="L552" t="s">
        <v>74</v>
      </c>
      <c r="M552" t="s">
        <v>77</v>
      </c>
      <c r="N552" t="s">
        <v>78</v>
      </c>
      <c r="O552" t="s">
        <v>7718</v>
      </c>
      <c r="P552" t="s">
        <v>7719</v>
      </c>
      <c r="Q552" t="s">
        <v>7720</v>
      </c>
      <c r="R552" t="s">
        <v>74</v>
      </c>
      <c r="S552" t="s">
        <v>7721</v>
      </c>
      <c r="T552" t="s">
        <v>7751</v>
      </c>
      <c r="U552" t="s">
        <v>7752</v>
      </c>
      <c r="V552" t="s">
        <v>7753</v>
      </c>
      <c r="W552" t="s">
        <v>7754</v>
      </c>
      <c r="X552" t="s">
        <v>74</v>
      </c>
      <c r="Y552" t="s">
        <v>7755</v>
      </c>
      <c r="Z552" t="s">
        <v>74</v>
      </c>
      <c r="AA552" t="s">
        <v>74</v>
      </c>
      <c r="AB552" t="s">
        <v>7745</v>
      </c>
      <c r="AC552" t="s">
        <v>74</v>
      </c>
      <c r="AD552" t="s">
        <v>74</v>
      </c>
      <c r="AE552" t="s">
        <v>74</v>
      </c>
      <c r="AF552" t="s">
        <v>74</v>
      </c>
      <c r="AG552">
        <v>26</v>
      </c>
      <c r="AH552">
        <v>32</v>
      </c>
      <c r="AI552">
        <v>37</v>
      </c>
      <c r="AJ552">
        <v>1</v>
      </c>
      <c r="AK552">
        <v>10</v>
      </c>
      <c r="AL552" t="s">
        <v>215</v>
      </c>
      <c r="AM552" t="s">
        <v>216</v>
      </c>
      <c r="AN552" t="s">
        <v>217</v>
      </c>
      <c r="AO552" t="s">
        <v>7728</v>
      </c>
      <c r="AP552" t="s">
        <v>74</v>
      </c>
      <c r="AQ552" t="s">
        <v>74</v>
      </c>
      <c r="AR552" t="s">
        <v>7729</v>
      </c>
      <c r="AS552" t="s">
        <v>7730</v>
      </c>
      <c r="AT552" t="s">
        <v>7731</v>
      </c>
      <c r="AU552">
        <v>2002</v>
      </c>
      <c r="AV552">
        <v>12</v>
      </c>
      <c r="AW552">
        <v>1</v>
      </c>
      <c r="AX552" t="s">
        <v>74</v>
      </c>
      <c r="AY552" t="s">
        <v>74</v>
      </c>
      <c r="AZ552" t="s">
        <v>74</v>
      </c>
      <c r="BA552" t="s">
        <v>74</v>
      </c>
      <c r="BB552">
        <v>75</v>
      </c>
      <c r="BC552">
        <v>87</v>
      </c>
      <c r="BD552" t="s">
        <v>74</v>
      </c>
      <c r="BE552" t="s">
        <v>7756</v>
      </c>
      <c r="BF552" t="str">
        <f>HYPERLINK("http://dx.doi.org/10.1002/aqc.478","http://dx.doi.org/10.1002/aqc.478")</f>
        <v>http://dx.doi.org/10.1002/aqc.478</v>
      </c>
      <c r="BG552" t="s">
        <v>74</v>
      </c>
      <c r="BH552" t="s">
        <v>74</v>
      </c>
      <c r="BI552">
        <v>13</v>
      </c>
      <c r="BJ552" t="s">
        <v>7733</v>
      </c>
      <c r="BK552" t="s">
        <v>744</v>
      </c>
      <c r="BL552" t="s">
        <v>7734</v>
      </c>
      <c r="BM552" t="s">
        <v>7735</v>
      </c>
      <c r="BN552" t="s">
        <v>74</v>
      </c>
      <c r="BO552" t="s">
        <v>74</v>
      </c>
      <c r="BP552" t="s">
        <v>74</v>
      </c>
      <c r="BQ552" t="s">
        <v>74</v>
      </c>
      <c r="BR552" t="s">
        <v>107</v>
      </c>
      <c r="BS552" t="s">
        <v>7757</v>
      </c>
      <c r="BT552" t="str">
        <f>HYPERLINK("https%3A%2F%2Fwww.webofscience.com%2Fwos%2Fwoscc%2Ffull-record%2FWOS:000175225000010","View Full Record in Web of Science")</f>
        <v>View Full Record in Web of Science</v>
      </c>
    </row>
    <row r="553" spans="1:72" x14ac:dyDescent="0.15">
      <c r="A553" t="s">
        <v>72</v>
      </c>
      <c r="B553" t="s">
        <v>7758</v>
      </c>
      <c r="C553" t="s">
        <v>74</v>
      </c>
      <c r="D553" t="s">
        <v>74</v>
      </c>
      <c r="E553" t="s">
        <v>74</v>
      </c>
      <c r="F553" t="s">
        <v>7758</v>
      </c>
      <c r="G553" t="s">
        <v>74</v>
      </c>
      <c r="H553" t="s">
        <v>74</v>
      </c>
      <c r="I553" t="s">
        <v>7759</v>
      </c>
      <c r="J553" t="s">
        <v>7717</v>
      </c>
      <c r="K553" t="s">
        <v>74</v>
      </c>
      <c r="L553" t="s">
        <v>74</v>
      </c>
      <c r="M553" t="s">
        <v>77</v>
      </c>
      <c r="N553" t="s">
        <v>78</v>
      </c>
      <c r="O553" t="s">
        <v>7718</v>
      </c>
      <c r="P553" t="s">
        <v>7719</v>
      </c>
      <c r="Q553" t="s">
        <v>7720</v>
      </c>
      <c r="R553" t="s">
        <v>74</v>
      </c>
      <c r="S553" t="s">
        <v>7721</v>
      </c>
      <c r="T553" t="s">
        <v>7760</v>
      </c>
      <c r="U553" t="s">
        <v>7761</v>
      </c>
      <c r="V553" t="s">
        <v>7762</v>
      </c>
      <c r="W553" t="s">
        <v>851</v>
      </c>
      <c r="X553" t="s">
        <v>852</v>
      </c>
      <c r="Y553" t="s">
        <v>7763</v>
      </c>
      <c r="Z553" t="s">
        <v>74</v>
      </c>
      <c r="AA553" t="s">
        <v>74</v>
      </c>
      <c r="AB553" t="s">
        <v>74</v>
      </c>
      <c r="AC553" t="s">
        <v>74</v>
      </c>
      <c r="AD553" t="s">
        <v>74</v>
      </c>
      <c r="AE553" t="s">
        <v>74</v>
      </c>
      <c r="AF553" t="s">
        <v>74</v>
      </c>
      <c r="AG553">
        <v>16</v>
      </c>
      <c r="AH553">
        <v>62</v>
      </c>
      <c r="AI553">
        <v>66</v>
      </c>
      <c r="AJ553">
        <v>1</v>
      </c>
      <c r="AK553">
        <v>16</v>
      </c>
      <c r="AL553" t="s">
        <v>215</v>
      </c>
      <c r="AM553" t="s">
        <v>216</v>
      </c>
      <c r="AN553" t="s">
        <v>217</v>
      </c>
      <c r="AO553" t="s">
        <v>7728</v>
      </c>
      <c r="AP553" t="s">
        <v>74</v>
      </c>
      <c r="AQ553" t="s">
        <v>74</v>
      </c>
      <c r="AR553" t="s">
        <v>7729</v>
      </c>
      <c r="AS553" t="s">
        <v>7730</v>
      </c>
      <c r="AT553" t="s">
        <v>7731</v>
      </c>
      <c r="AU553">
        <v>2002</v>
      </c>
      <c r="AV553">
        <v>12</v>
      </c>
      <c r="AW553">
        <v>1</v>
      </c>
      <c r="AX553" t="s">
        <v>74</v>
      </c>
      <c r="AY553" t="s">
        <v>74</v>
      </c>
      <c r="AZ553" t="s">
        <v>74</v>
      </c>
      <c r="BA553" t="s">
        <v>74</v>
      </c>
      <c r="BB553">
        <v>89</v>
      </c>
      <c r="BC553">
        <v>99</v>
      </c>
      <c r="BD553" t="s">
        <v>74</v>
      </c>
      <c r="BE553" t="s">
        <v>7764</v>
      </c>
      <c r="BF553" t="str">
        <f>HYPERLINK("http://dx.doi.org/10.1002/aqc.479","http://dx.doi.org/10.1002/aqc.479")</f>
        <v>http://dx.doi.org/10.1002/aqc.479</v>
      </c>
      <c r="BG553" t="s">
        <v>74</v>
      </c>
      <c r="BH553" t="s">
        <v>74</v>
      </c>
      <c r="BI553">
        <v>11</v>
      </c>
      <c r="BJ553" t="s">
        <v>7733</v>
      </c>
      <c r="BK553" t="s">
        <v>744</v>
      </c>
      <c r="BL553" t="s">
        <v>7734</v>
      </c>
      <c r="BM553" t="s">
        <v>7735</v>
      </c>
      <c r="BN553" t="s">
        <v>74</v>
      </c>
      <c r="BO553" t="s">
        <v>173</v>
      </c>
      <c r="BP553" t="s">
        <v>74</v>
      </c>
      <c r="BQ553" t="s">
        <v>74</v>
      </c>
      <c r="BR553" t="s">
        <v>107</v>
      </c>
      <c r="BS553" t="s">
        <v>7765</v>
      </c>
      <c r="BT553" t="str">
        <f>HYPERLINK("https%3A%2F%2Fwww.webofscience.com%2Fwos%2Fwoscc%2Ffull-record%2FWOS:000175225000011","View Full Record in Web of Science")</f>
        <v>View Full Record in Web of Science</v>
      </c>
    </row>
    <row r="554" spans="1:72" x14ac:dyDescent="0.15">
      <c r="A554" t="s">
        <v>72</v>
      </c>
      <c r="B554" t="s">
        <v>7766</v>
      </c>
      <c r="C554" t="s">
        <v>74</v>
      </c>
      <c r="D554" t="s">
        <v>74</v>
      </c>
      <c r="E554" t="s">
        <v>74</v>
      </c>
      <c r="F554" t="s">
        <v>7766</v>
      </c>
      <c r="G554" t="s">
        <v>74</v>
      </c>
      <c r="H554" t="s">
        <v>74</v>
      </c>
      <c r="I554" t="s">
        <v>7767</v>
      </c>
      <c r="J554" t="s">
        <v>7717</v>
      </c>
      <c r="K554" t="s">
        <v>74</v>
      </c>
      <c r="L554" t="s">
        <v>74</v>
      </c>
      <c r="M554" t="s">
        <v>77</v>
      </c>
      <c r="N554" t="s">
        <v>78</v>
      </c>
      <c r="O554" t="s">
        <v>7718</v>
      </c>
      <c r="P554" t="s">
        <v>7719</v>
      </c>
      <c r="Q554" t="s">
        <v>7720</v>
      </c>
      <c r="R554" t="s">
        <v>74</v>
      </c>
      <c r="S554" t="s">
        <v>7721</v>
      </c>
      <c r="T554" t="s">
        <v>7768</v>
      </c>
      <c r="U554" t="s">
        <v>7769</v>
      </c>
      <c r="V554" t="s">
        <v>7770</v>
      </c>
      <c r="W554" t="s">
        <v>851</v>
      </c>
      <c r="X554" t="s">
        <v>852</v>
      </c>
      <c r="Y554" t="s">
        <v>268</v>
      </c>
      <c r="Z554" t="s">
        <v>7771</v>
      </c>
      <c r="AA554" t="s">
        <v>74</v>
      </c>
      <c r="AB554" t="s">
        <v>74</v>
      </c>
      <c r="AC554" t="s">
        <v>74</v>
      </c>
      <c r="AD554" t="s">
        <v>74</v>
      </c>
      <c r="AE554" t="s">
        <v>74</v>
      </c>
      <c r="AF554" t="s">
        <v>74</v>
      </c>
      <c r="AG554">
        <v>77</v>
      </c>
      <c r="AH554">
        <v>113</v>
      </c>
      <c r="AI554">
        <v>127</v>
      </c>
      <c r="AJ554">
        <v>0</v>
      </c>
      <c r="AK554">
        <v>36</v>
      </c>
      <c r="AL554" t="s">
        <v>394</v>
      </c>
      <c r="AM554" t="s">
        <v>395</v>
      </c>
      <c r="AN554" t="s">
        <v>396</v>
      </c>
      <c r="AO554" t="s">
        <v>7728</v>
      </c>
      <c r="AP554" t="s">
        <v>7746</v>
      </c>
      <c r="AQ554" t="s">
        <v>74</v>
      </c>
      <c r="AR554" t="s">
        <v>7729</v>
      </c>
      <c r="AS554" t="s">
        <v>7730</v>
      </c>
      <c r="AT554" t="s">
        <v>7731</v>
      </c>
      <c r="AU554">
        <v>2002</v>
      </c>
      <c r="AV554">
        <v>12</v>
      </c>
      <c r="AW554">
        <v>1</v>
      </c>
      <c r="AX554" t="s">
        <v>74</v>
      </c>
      <c r="AY554" t="s">
        <v>74</v>
      </c>
      <c r="AZ554" t="s">
        <v>74</v>
      </c>
      <c r="BA554" t="s">
        <v>74</v>
      </c>
      <c r="BB554">
        <v>101</v>
      </c>
      <c r="BC554">
        <v>118</v>
      </c>
      <c r="BD554" t="s">
        <v>74</v>
      </c>
      <c r="BE554" t="s">
        <v>7772</v>
      </c>
      <c r="BF554" t="str">
        <f>HYPERLINK("http://dx.doi.org/10.1002/aqc.480","http://dx.doi.org/10.1002/aqc.480")</f>
        <v>http://dx.doi.org/10.1002/aqc.480</v>
      </c>
      <c r="BG554" t="s">
        <v>74</v>
      </c>
      <c r="BH554" t="s">
        <v>74</v>
      </c>
      <c r="BI554">
        <v>20</v>
      </c>
      <c r="BJ554" t="s">
        <v>7733</v>
      </c>
      <c r="BK554" t="s">
        <v>103</v>
      </c>
      <c r="BL554" t="s">
        <v>7734</v>
      </c>
      <c r="BM554" t="s">
        <v>7735</v>
      </c>
      <c r="BN554" t="s">
        <v>74</v>
      </c>
      <c r="BO554" t="s">
        <v>74</v>
      </c>
      <c r="BP554" t="s">
        <v>74</v>
      </c>
      <c r="BQ554" t="s">
        <v>74</v>
      </c>
      <c r="BR554" t="s">
        <v>107</v>
      </c>
      <c r="BS554" t="s">
        <v>7773</v>
      </c>
      <c r="BT554" t="str">
        <f>HYPERLINK("https%3A%2F%2Fwww.webofscience.com%2Fwos%2Fwoscc%2Ffull-record%2FWOS:000175225000012","View Full Record in Web of Science")</f>
        <v>View Full Record in Web of Science</v>
      </c>
    </row>
    <row r="555" spans="1:72" x14ac:dyDescent="0.15">
      <c r="A555" t="s">
        <v>72</v>
      </c>
      <c r="B555" t="s">
        <v>6473</v>
      </c>
      <c r="C555" t="s">
        <v>74</v>
      </c>
      <c r="D555" t="s">
        <v>74</v>
      </c>
      <c r="E555" t="s">
        <v>74</v>
      </c>
      <c r="F555" t="s">
        <v>6473</v>
      </c>
      <c r="G555" t="s">
        <v>74</v>
      </c>
      <c r="H555" t="s">
        <v>74</v>
      </c>
      <c r="I555" t="s">
        <v>7774</v>
      </c>
      <c r="J555" t="s">
        <v>7717</v>
      </c>
      <c r="K555" t="s">
        <v>74</v>
      </c>
      <c r="L555" t="s">
        <v>74</v>
      </c>
      <c r="M555" t="s">
        <v>77</v>
      </c>
      <c r="N555" t="s">
        <v>78</v>
      </c>
      <c r="O555" t="s">
        <v>7718</v>
      </c>
      <c r="P555" t="s">
        <v>7719</v>
      </c>
      <c r="Q555" t="s">
        <v>7720</v>
      </c>
      <c r="R555" t="s">
        <v>74</v>
      </c>
      <c r="S555" t="s">
        <v>7721</v>
      </c>
      <c r="T555" t="s">
        <v>7775</v>
      </c>
      <c r="U555" t="s">
        <v>7776</v>
      </c>
      <c r="V555" t="s">
        <v>7777</v>
      </c>
      <c r="W555" t="s">
        <v>851</v>
      </c>
      <c r="X555" t="s">
        <v>852</v>
      </c>
      <c r="Y555" t="s">
        <v>7778</v>
      </c>
      <c r="Z555" t="s">
        <v>74</v>
      </c>
      <c r="AA555" t="s">
        <v>74</v>
      </c>
      <c r="AB555" t="s">
        <v>74</v>
      </c>
      <c r="AC555" t="s">
        <v>74</v>
      </c>
      <c r="AD555" t="s">
        <v>74</v>
      </c>
      <c r="AE555" t="s">
        <v>74</v>
      </c>
      <c r="AF555" t="s">
        <v>74</v>
      </c>
      <c r="AG555">
        <v>33</v>
      </c>
      <c r="AH555">
        <v>26</v>
      </c>
      <c r="AI555">
        <v>28</v>
      </c>
      <c r="AJ555">
        <v>0</v>
      </c>
      <c r="AK555">
        <v>13</v>
      </c>
      <c r="AL555" t="s">
        <v>215</v>
      </c>
      <c r="AM555" t="s">
        <v>216</v>
      </c>
      <c r="AN555" t="s">
        <v>217</v>
      </c>
      <c r="AO555" t="s">
        <v>7728</v>
      </c>
      <c r="AP555" t="s">
        <v>74</v>
      </c>
      <c r="AQ555" t="s">
        <v>74</v>
      </c>
      <c r="AR555" t="s">
        <v>7729</v>
      </c>
      <c r="AS555" t="s">
        <v>7730</v>
      </c>
      <c r="AT555" t="s">
        <v>7731</v>
      </c>
      <c r="AU555">
        <v>2002</v>
      </c>
      <c r="AV555">
        <v>12</v>
      </c>
      <c r="AW555">
        <v>1</v>
      </c>
      <c r="AX555" t="s">
        <v>74</v>
      </c>
      <c r="AY555" t="s">
        <v>74</v>
      </c>
      <c r="AZ555" t="s">
        <v>74</v>
      </c>
      <c r="BA555" t="s">
        <v>74</v>
      </c>
      <c r="BB555">
        <v>119</v>
      </c>
      <c r="BC555">
        <v>126</v>
      </c>
      <c r="BD555" t="s">
        <v>74</v>
      </c>
      <c r="BE555" t="s">
        <v>7779</v>
      </c>
      <c r="BF555" t="str">
        <f>HYPERLINK("http://dx.doi.org/10.1002/aqc.481","http://dx.doi.org/10.1002/aqc.481")</f>
        <v>http://dx.doi.org/10.1002/aqc.481</v>
      </c>
      <c r="BG555" t="s">
        <v>74</v>
      </c>
      <c r="BH555" t="s">
        <v>74</v>
      </c>
      <c r="BI555">
        <v>8</v>
      </c>
      <c r="BJ555" t="s">
        <v>7733</v>
      </c>
      <c r="BK555" t="s">
        <v>744</v>
      </c>
      <c r="BL555" t="s">
        <v>7734</v>
      </c>
      <c r="BM555" t="s">
        <v>7735</v>
      </c>
      <c r="BN555" t="s">
        <v>74</v>
      </c>
      <c r="BO555" t="s">
        <v>74</v>
      </c>
      <c r="BP555" t="s">
        <v>74</v>
      </c>
      <c r="BQ555" t="s">
        <v>74</v>
      </c>
      <c r="BR555" t="s">
        <v>107</v>
      </c>
      <c r="BS555" t="s">
        <v>7780</v>
      </c>
      <c r="BT555" t="str">
        <f>HYPERLINK("https%3A%2F%2Fwww.webofscience.com%2Fwos%2Fwoscc%2Ffull-record%2FWOS:000175225000013","View Full Record in Web of Science")</f>
        <v>View Full Record in Web of Science</v>
      </c>
    </row>
    <row r="556" spans="1:72" x14ac:dyDescent="0.15">
      <c r="A556" t="s">
        <v>72</v>
      </c>
      <c r="B556" t="s">
        <v>7781</v>
      </c>
      <c r="C556" t="s">
        <v>74</v>
      </c>
      <c r="D556" t="s">
        <v>74</v>
      </c>
      <c r="E556" t="s">
        <v>74</v>
      </c>
      <c r="F556" t="s">
        <v>7781</v>
      </c>
      <c r="G556" t="s">
        <v>74</v>
      </c>
      <c r="H556" t="s">
        <v>74</v>
      </c>
      <c r="I556" t="s">
        <v>7782</v>
      </c>
      <c r="J556" t="s">
        <v>7717</v>
      </c>
      <c r="K556" t="s">
        <v>74</v>
      </c>
      <c r="L556" t="s">
        <v>74</v>
      </c>
      <c r="M556" t="s">
        <v>77</v>
      </c>
      <c r="N556" t="s">
        <v>78</v>
      </c>
      <c r="O556" t="s">
        <v>7718</v>
      </c>
      <c r="P556" t="s">
        <v>7719</v>
      </c>
      <c r="Q556" t="s">
        <v>7720</v>
      </c>
      <c r="R556" t="s">
        <v>74</v>
      </c>
      <c r="S556" t="s">
        <v>7721</v>
      </c>
      <c r="T556" t="s">
        <v>7783</v>
      </c>
      <c r="U556" t="s">
        <v>7784</v>
      </c>
      <c r="V556" t="s">
        <v>7785</v>
      </c>
      <c r="W556" t="s">
        <v>7786</v>
      </c>
      <c r="X556" t="s">
        <v>74</v>
      </c>
      <c r="Y556" t="s">
        <v>7787</v>
      </c>
      <c r="Z556" t="s">
        <v>74</v>
      </c>
      <c r="AA556" t="s">
        <v>7788</v>
      </c>
      <c r="AB556" t="s">
        <v>74</v>
      </c>
      <c r="AC556" t="s">
        <v>74</v>
      </c>
      <c r="AD556" t="s">
        <v>74</v>
      </c>
      <c r="AE556" t="s">
        <v>74</v>
      </c>
      <c r="AF556" t="s">
        <v>74</v>
      </c>
      <c r="AG556">
        <v>14</v>
      </c>
      <c r="AH556">
        <v>8</v>
      </c>
      <c r="AI556">
        <v>10</v>
      </c>
      <c r="AJ556">
        <v>0</v>
      </c>
      <c r="AK556">
        <v>15</v>
      </c>
      <c r="AL556" t="s">
        <v>215</v>
      </c>
      <c r="AM556" t="s">
        <v>216</v>
      </c>
      <c r="AN556" t="s">
        <v>217</v>
      </c>
      <c r="AO556" t="s">
        <v>7728</v>
      </c>
      <c r="AP556" t="s">
        <v>74</v>
      </c>
      <c r="AQ556" t="s">
        <v>74</v>
      </c>
      <c r="AR556" t="s">
        <v>7729</v>
      </c>
      <c r="AS556" t="s">
        <v>7730</v>
      </c>
      <c r="AT556" t="s">
        <v>7731</v>
      </c>
      <c r="AU556">
        <v>2002</v>
      </c>
      <c r="AV556">
        <v>12</v>
      </c>
      <c r="AW556">
        <v>1</v>
      </c>
      <c r="AX556" t="s">
        <v>74</v>
      </c>
      <c r="AY556" t="s">
        <v>74</v>
      </c>
      <c r="AZ556" t="s">
        <v>74</v>
      </c>
      <c r="BA556" t="s">
        <v>74</v>
      </c>
      <c r="BB556">
        <v>145</v>
      </c>
      <c r="BC556">
        <v>152</v>
      </c>
      <c r="BD556" t="s">
        <v>74</v>
      </c>
      <c r="BE556" t="s">
        <v>7789</v>
      </c>
      <c r="BF556" t="str">
        <f>HYPERLINK("http://dx.doi.org/10.1002/aqc.484","http://dx.doi.org/10.1002/aqc.484")</f>
        <v>http://dx.doi.org/10.1002/aqc.484</v>
      </c>
      <c r="BG556" t="s">
        <v>74</v>
      </c>
      <c r="BH556" t="s">
        <v>74</v>
      </c>
      <c r="BI556">
        <v>8</v>
      </c>
      <c r="BJ556" t="s">
        <v>7733</v>
      </c>
      <c r="BK556" t="s">
        <v>744</v>
      </c>
      <c r="BL556" t="s">
        <v>7734</v>
      </c>
      <c r="BM556" t="s">
        <v>7735</v>
      </c>
      <c r="BN556" t="s">
        <v>74</v>
      </c>
      <c r="BO556" t="s">
        <v>74</v>
      </c>
      <c r="BP556" t="s">
        <v>74</v>
      </c>
      <c r="BQ556" t="s">
        <v>74</v>
      </c>
      <c r="BR556" t="s">
        <v>107</v>
      </c>
      <c r="BS556" t="s">
        <v>7790</v>
      </c>
      <c r="BT556" t="str">
        <f>HYPERLINK("https%3A%2F%2Fwww.webofscience.com%2Fwos%2Fwoscc%2Ffull-record%2FWOS:000175225000016","View Full Record in Web of Science")</f>
        <v>View Full Record in Web of Science</v>
      </c>
    </row>
    <row r="557" spans="1:72" x14ac:dyDescent="0.15">
      <c r="A557" t="s">
        <v>72</v>
      </c>
      <c r="B557" t="s">
        <v>7791</v>
      </c>
      <c r="C557" t="s">
        <v>74</v>
      </c>
      <c r="D557" t="s">
        <v>74</v>
      </c>
      <c r="E557" t="s">
        <v>74</v>
      </c>
      <c r="F557" t="s">
        <v>7791</v>
      </c>
      <c r="G557" t="s">
        <v>74</v>
      </c>
      <c r="H557" t="s">
        <v>74</v>
      </c>
      <c r="I557" t="s">
        <v>7792</v>
      </c>
      <c r="J557" t="s">
        <v>7793</v>
      </c>
      <c r="K557" t="s">
        <v>74</v>
      </c>
      <c r="L557" t="s">
        <v>74</v>
      </c>
      <c r="M557" t="s">
        <v>7794</v>
      </c>
      <c r="N557" t="s">
        <v>153</v>
      </c>
      <c r="O557" t="s">
        <v>74</v>
      </c>
      <c r="P557" t="s">
        <v>74</v>
      </c>
      <c r="Q557" t="s">
        <v>74</v>
      </c>
      <c r="R557" t="s">
        <v>74</v>
      </c>
      <c r="S557" t="s">
        <v>74</v>
      </c>
      <c r="T557" t="s">
        <v>7795</v>
      </c>
      <c r="U557" t="s">
        <v>7796</v>
      </c>
      <c r="V557" t="s">
        <v>7797</v>
      </c>
      <c r="W557" t="s">
        <v>7798</v>
      </c>
      <c r="X557" t="s">
        <v>2267</v>
      </c>
      <c r="Y557" t="s">
        <v>7799</v>
      </c>
      <c r="Z557" t="s">
        <v>74</v>
      </c>
      <c r="AA557" t="s">
        <v>7800</v>
      </c>
      <c r="AB557" t="s">
        <v>7801</v>
      </c>
      <c r="AC557" t="s">
        <v>74</v>
      </c>
      <c r="AD557" t="s">
        <v>74</v>
      </c>
      <c r="AE557" t="s">
        <v>74</v>
      </c>
      <c r="AF557" t="s">
        <v>74</v>
      </c>
      <c r="AG557">
        <v>12</v>
      </c>
      <c r="AH557">
        <v>8</v>
      </c>
      <c r="AI557">
        <v>8</v>
      </c>
      <c r="AJ557">
        <v>1</v>
      </c>
      <c r="AK557">
        <v>5</v>
      </c>
      <c r="AL557" t="s">
        <v>7802</v>
      </c>
      <c r="AM557" t="s">
        <v>7803</v>
      </c>
      <c r="AN557" t="s">
        <v>7804</v>
      </c>
      <c r="AO557" t="s">
        <v>7805</v>
      </c>
      <c r="AP557" t="s">
        <v>7806</v>
      </c>
      <c r="AQ557" t="s">
        <v>74</v>
      </c>
      <c r="AR557" t="s">
        <v>7807</v>
      </c>
      <c r="AS557" t="s">
        <v>7808</v>
      </c>
      <c r="AT557" t="s">
        <v>74</v>
      </c>
      <c r="AU557">
        <v>2002</v>
      </c>
      <c r="AV557">
        <v>34</v>
      </c>
      <c r="AW557">
        <v>1</v>
      </c>
      <c r="AX557" t="s">
        <v>74</v>
      </c>
      <c r="AY557" t="s">
        <v>74</v>
      </c>
      <c r="AZ557" t="s">
        <v>74</v>
      </c>
      <c r="BA557" t="s">
        <v>74</v>
      </c>
      <c r="BB557">
        <v>117</v>
      </c>
      <c r="BC557">
        <v>122</v>
      </c>
      <c r="BD557" t="s">
        <v>74</v>
      </c>
      <c r="BE557" t="s">
        <v>7809</v>
      </c>
      <c r="BF557" t="str">
        <f>HYPERLINK("http://dx.doi.org/10.4067/S0301-732X2002000100013","http://dx.doi.org/10.4067/S0301-732X2002000100013")</f>
        <v>http://dx.doi.org/10.4067/S0301-732X2002000100013</v>
      </c>
      <c r="BG557" t="s">
        <v>74</v>
      </c>
      <c r="BH557" t="s">
        <v>74</v>
      </c>
      <c r="BI557">
        <v>6</v>
      </c>
      <c r="BJ557" t="s">
        <v>7810</v>
      </c>
      <c r="BK557" t="s">
        <v>170</v>
      </c>
      <c r="BL557" t="s">
        <v>7810</v>
      </c>
      <c r="BM557" t="s">
        <v>7811</v>
      </c>
      <c r="BN557" t="s">
        <v>74</v>
      </c>
      <c r="BO557" t="s">
        <v>7812</v>
      </c>
      <c r="BP557" t="s">
        <v>74</v>
      </c>
      <c r="BQ557" t="s">
        <v>74</v>
      </c>
      <c r="BR557" t="s">
        <v>107</v>
      </c>
      <c r="BS557" t="s">
        <v>7813</v>
      </c>
      <c r="BT557" t="str">
        <f>HYPERLINK("https%3A%2F%2Fwww.webofscience.com%2Fwos%2Fwoscc%2Ffull-record%2FWOS:000176318200013","View Full Record in Web of Science")</f>
        <v>View Full Record in Web of Science</v>
      </c>
    </row>
    <row r="558" spans="1:72" x14ac:dyDescent="0.15">
      <c r="A558" t="s">
        <v>6989</v>
      </c>
      <c r="B558" t="s">
        <v>7814</v>
      </c>
      <c r="C558" t="s">
        <v>74</v>
      </c>
      <c r="D558" t="s">
        <v>7815</v>
      </c>
      <c r="E558" t="s">
        <v>74</v>
      </c>
      <c r="F558" t="s">
        <v>7814</v>
      </c>
      <c r="G558" t="s">
        <v>74</v>
      </c>
      <c r="H558" t="s">
        <v>74</v>
      </c>
      <c r="I558" t="s">
        <v>7816</v>
      </c>
      <c r="J558" t="s">
        <v>7817</v>
      </c>
      <c r="K558" t="s">
        <v>7818</v>
      </c>
      <c r="L558" t="s">
        <v>74</v>
      </c>
      <c r="M558" t="s">
        <v>77</v>
      </c>
      <c r="N558" t="s">
        <v>6994</v>
      </c>
      <c r="O558" t="s">
        <v>7819</v>
      </c>
      <c r="P558" t="s">
        <v>7820</v>
      </c>
      <c r="Q558" t="s">
        <v>7821</v>
      </c>
      <c r="R558" t="s">
        <v>74</v>
      </c>
      <c r="S558" t="s">
        <v>74</v>
      </c>
      <c r="T558" t="s">
        <v>74</v>
      </c>
      <c r="U558" t="s">
        <v>7822</v>
      </c>
      <c r="V558" t="s">
        <v>7823</v>
      </c>
      <c r="W558" t="s">
        <v>3629</v>
      </c>
      <c r="X558" t="s">
        <v>3630</v>
      </c>
      <c r="Y558" t="s">
        <v>7824</v>
      </c>
      <c r="Z558" t="s">
        <v>74</v>
      </c>
      <c r="AA558" t="s">
        <v>74</v>
      </c>
      <c r="AB558" t="s">
        <v>74</v>
      </c>
      <c r="AC558" t="s">
        <v>74</v>
      </c>
      <c r="AD558" t="s">
        <v>74</v>
      </c>
      <c r="AE558" t="s">
        <v>74</v>
      </c>
      <c r="AF558" t="s">
        <v>74</v>
      </c>
      <c r="AG558">
        <v>26</v>
      </c>
      <c r="AH558">
        <v>3</v>
      </c>
      <c r="AI558">
        <v>3</v>
      </c>
      <c r="AJ558">
        <v>0</v>
      </c>
      <c r="AK558">
        <v>1</v>
      </c>
      <c r="AL558" t="s">
        <v>7825</v>
      </c>
      <c r="AM558" t="s">
        <v>7826</v>
      </c>
      <c r="AN558" t="s">
        <v>7827</v>
      </c>
      <c r="AO558" t="s">
        <v>7828</v>
      </c>
      <c r="AP558" t="s">
        <v>74</v>
      </c>
      <c r="AQ558" t="s">
        <v>7829</v>
      </c>
      <c r="AR558" t="s">
        <v>7830</v>
      </c>
      <c r="AS558" t="s">
        <v>74</v>
      </c>
      <c r="AT558" t="s">
        <v>74</v>
      </c>
      <c r="AU558">
        <v>2002</v>
      </c>
      <c r="AV558">
        <v>266</v>
      </c>
      <c r="AW558" t="s">
        <v>74</v>
      </c>
      <c r="AX558" t="s">
        <v>74</v>
      </c>
      <c r="AY558" t="s">
        <v>74</v>
      </c>
      <c r="AZ558" t="s">
        <v>74</v>
      </c>
      <c r="BA558" t="s">
        <v>74</v>
      </c>
      <c r="BB558">
        <v>524</v>
      </c>
      <c r="BC558">
        <v>531</v>
      </c>
      <c r="BD558" t="s">
        <v>74</v>
      </c>
      <c r="BE558" t="s">
        <v>74</v>
      </c>
      <c r="BF558" t="s">
        <v>74</v>
      </c>
      <c r="BG558" t="s">
        <v>74</v>
      </c>
      <c r="BH558" t="s">
        <v>74</v>
      </c>
      <c r="BI558">
        <v>8</v>
      </c>
      <c r="BJ558" t="s">
        <v>1856</v>
      </c>
      <c r="BK558" t="s">
        <v>7004</v>
      </c>
      <c r="BL558" t="s">
        <v>1856</v>
      </c>
      <c r="BM558" t="s">
        <v>7831</v>
      </c>
      <c r="BN558" t="s">
        <v>74</v>
      </c>
      <c r="BO558" t="s">
        <v>74</v>
      </c>
      <c r="BP558" t="s">
        <v>74</v>
      </c>
      <c r="BQ558" t="s">
        <v>74</v>
      </c>
      <c r="BR558" t="s">
        <v>107</v>
      </c>
      <c r="BS558" t="s">
        <v>7832</v>
      </c>
      <c r="BT558" t="str">
        <f>HYPERLINK("https%3A%2F%2Fwww.webofscience.com%2Fwos%2Fwoscc%2Ffull-record%2FWOS:000178271800063","View Full Record in Web of Science")</f>
        <v>View Full Record in Web of Science</v>
      </c>
    </row>
    <row r="559" spans="1:72" x14ac:dyDescent="0.15">
      <c r="A559" t="s">
        <v>6989</v>
      </c>
      <c r="B559" t="s">
        <v>7833</v>
      </c>
      <c r="C559" t="s">
        <v>74</v>
      </c>
      <c r="D559" t="s">
        <v>7834</v>
      </c>
      <c r="E559" t="s">
        <v>74</v>
      </c>
      <c r="F559" t="s">
        <v>7833</v>
      </c>
      <c r="G559" t="s">
        <v>74</v>
      </c>
      <c r="H559" t="s">
        <v>74</v>
      </c>
      <c r="I559" t="s">
        <v>7835</v>
      </c>
      <c r="J559" t="s">
        <v>7836</v>
      </c>
      <c r="K559" t="s">
        <v>7837</v>
      </c>
      <c r="L559" t="s">
        <v>74</v>
      </c>
      <c r="M559" t="s">
        <v>77</v>
      </c>
      <c r="N559" t="s">
        <v>6994</v>
      </c>
      <c r="O559" t="s">
        <v>7838</v>
      </c>
      <c r="P559" t="s">
        <v>7839</v>
      </c>
      <c r="Q559" t="s">
        <v>7840</v>
      </c>
      <c r="R559" t="s">
        <v>74</v>
      </c>
      <c r="S559" t="s">
        <v>74</v>
      </c>
      <c r="T559" t="s">
        <v>74</v>
      </c>
      <c r="U559" t="s">
        <v>7841</v>
      </c>
      <c r="V559" t="s">
        <v>7842</v>
      </c>
      <c r="W559" t="s">
        <v>7843</v>
      </c>
      <c r="X559" t="s">
        <v>7844</v>
      </c>
      <c r="Y559" t="s">
        <v>7845</v>
      </c>
      <c r="Z559" t="s">
        <v>74</v>
      </c>
      <c r="AA559" t="s">
        <v>7846</v>
      </c>
      <c r="AB559" t="s">
        <v>7847</v>
      </c>
      <c r="AC559" t="s">
        <v>74</v>
      </c>
      <c r="AD559" t="s">
        <v>74</v>
      </c>
      <c r="AE559" t="s">
        <v>74</v>
      </c>
      <c r="AF559" t="s">
        <v>74</v>
      </c>
      <c r="AG559">
        <v>35</v>
      </c>
      <c r="AH559">
        <v>15</v>
      </c>
      <c r="AI559">
        <v>15</v>
      </c>
      <c r="AJ559">
        <v>0</v>
      </c>
      <c r="AK559">
        <v>0</v>
      </c>
      <c r="AL559" t="s">
        <v>4713</v>
      </c>
      <c r="AM559" t="s">
        <v>4714</v>
      </c>
      <c r="AN559" t="s">
        <v>7848</v>
      </c>
      <c r="AO559" t="s">
        <v>7849</v>
      </c>
      <c r="AP559" t="s">
        <v>74</v>
      </c>
      <c r="AQ559" t="s">
        <v>7850</v>
      </c>
      <c r="AR559" t="s">
        <v>7851</v>
      </c>
      <c r="AS559" t="s">
        <v>74</v>
      </c>
      <c r="AT559" t="s">
        <v>74</v>
      </c>
      <c r="AU559">
        <v>2002</v>
      </c>
      <c r="AV559">
        <v>609</v>
      </c>
      <c r="AW559" t="s">
        <v>74</v>
      </c>
      <c r="AX559" t="s">
        <v>74</v>
      </c>
      <c r="AY559" t="s">
        <v>74</v>
      </c>
      <c r="AZ559" t="s">
        <v>74</v>
      </c>
      <c r="BA559" t="s">
        <v>74</v>
      </c>
      <c r="BB559">
        <v>122</v>
      </c>
      <c r="BC559">
        <v>128</v>
      </c>
      <c r="BD559" t="s">
        <v>74</v>
      </c>
      <c r="BE559" t="s">
        <v>74</v>
      </c>
      <c r="BF559" t="s">
        <v>74</v>
      </c>
      <c r="BG559" t="s">
        <v>74</v>
      </c>
      <c r="BH559" t="s">
        <v>74</v>
      </c>
      <c r="BI559">
        <v>7</v>
      </c>
      <c r="BJ559" t="s">
        <v>1856</v>
      </c>
      <c r="BK559" t="s">
        <v>7004</v>
      </c>
      <c r="BL559" t="s">
        <v>1856</v>
      </c>
      <c r="BM559" t="s">
        <v>7852</v>
      </c>
      <c r="BN559" t="s">
        <v>74</v>
      </c>
      <c r="BO559" t="s">
        <v>7853</v>
      </c>
      <c r="BP559" t="s">
        <v>74</v>
      </c>
      <c r="BQ559" t="s">
        <v>74</v>
      </c>
      <c r="BR559" t="s">
        <v>107</v>
      </c>
      <c r="BS559" t="s">
        <v>7854</v>
      </c>
      <c r="BT559" t="str">
        <f>HYPERLINK("https%3A%2F%2Fwww.webofscience.com%2Fwos%2Fwoscc%2Ffull-record%2FWOS:000175483200020","View Full Record in Web of Science")</f>
        <v>View Full Record in Web of Science</v>
      </c>
    </row>
    <row r="560" spans="1:72" x14ac:dyDescent="0.15">
      <c r="A560" t="s">
        <v>72</v>
      </c>
      <c r="B560" t="s">
        <v>7855</v>
      </c>
      <c r="C560" t="s">
        <v>74</v>
      </c>
      <c r="D560" t="s">
        <v>74</v>
      </c>
      <c r="E560" t="s">
        <v>74</v>
      </c>
      <c r="F560" t="s">
        <v>7855</v>
      </c>
      <c r="G560" t="s">
        <v>74</v>
      </c>
      <c r="H560" t="s">
        <v>74</v>
      </c>
      <c r="I560" t="s">
        <v>7856</v>
      </c>
      <c r="J560" t="s">
        <v>7857</v>
      </c>
      <c r="K560" t="s">
        <v>74</v>
      </c>
      <c r="L560" t="s">
        <v>74</v>
      </c>
      <c r="M560" t="s">
        <v>77</v>
      </c>
      <c r="N560" t="s">
        <v>153</v>
      </c>
      <c r="O560" t="s">
        <v>74</v>
      </c>
      <c r="P560" t="s">
        <v>74</v>
      </c>
      <c r="Q560" t="s">
        <v>74</v>
      </c>
      <c r="R560" t="s">
        <v>74</v>
      </c>
      <c r="S560" t="s">
        <v>74</v>
      </c>
      <c r="T560" t="s">
        <v>74</v>
      </c>
      <c r="U560" t="s">
        <v>7858</v>
      </c>
      <c r="V560" t="s">
        <v>7859</v>
      </c>
      <c r="W560" t="s">
        <v>7860</v>
      </c>
      <c r="X560" t="s">
        <v>7861</v>
      </c>
      <c r="Y560" t="s">
        <v>7862</v>
      </c>
      <c r="Z560" t="s">
        <v>74</v>
      </c>
      <c r="AA560" t="s">
        <v>74</v>
      </c>
      <c r="AB560" t="s">
        <v>74</v>
      </c>
      <c r="AC560" t="s">
        <v>74</v>
      </c>
      <c r="AD560" t="s">
        <v>74</v>
      </c>
      <c r="AE560" t="s">
        <v>74</v>
      </c>
      <c r="AF560" t="s">
        <v>74</v>
      </c>
      <c r="AG560">
        <v>27</v>
      </c>
      <c r="AH560">
        <v>24</v>
      </c>
      <c r="AI560">
        <v>27</v>
      </c>
      <c r="AJ560">
        <v>0</v>
      </c>
      <c r="AK560">
        <v>14</v>
      </c>
      <c r="AL560" t="s">
        <v>7863</v>
      </c>
      <c r="AM560" t="s">
        <v>3580</v>
      </c>
      <c r="AN560" t="s">
        <v>7864</v>
      </c>
      <c r="AO560" t="s">
        <v>7865</v>
      </c>
      <c r="AP560" t="s">
        <v>74</v>
      </c>
      <c r="AQ560" t="s">
        <v>74</v>
      </c>
      <c r="AR560" t="s">
        <v>7857</v>
      </c>
      <c r="AS560" t="s">
        <v>7857</v>
      </c>
      <c r="AT560" t="s">
        <v>7127</v>
      </c>
      <c r="AU560">
        <v>2002</v>
      </c>
      <c r="AV560">
        <v>119</v>
      </c>
      <c r="AW560">
        <v>1</v>
      </c>
      <c r="AX560" t="s">
        <v>74</v>
      </c>
      <c r="AY560" t="s">
        <v>74</v>
      </c>
      <c r="AZ560" t="s">
        <v>74</v>
      </c>
      <c r="BA560" t="s">
        <v>74</v>
      </c>
      <c r="BB560">
        <v>266</v>
      </c>
      <c r="BC560">
        <v>270</v>
      </c>
      <c r="BD560" t="s">
        <v>74</v>
      </c>
      <c r="BE560" t="s">
        <v>7866</v>
      </c>
      <c r="BF560" t="str">
        <f>HYPERLINK("http://dx.doi.org/10.1642/0004-8038(2002)119[0266:BCAPDI]2.0.CO;2","http://dx.doi.org/10.1642/0004-8038(2002)119[0266:BCAPDI]2.0.CO;2")</f>
        <v>http://dx.doi.org/10.1642/0004-8038(2002)119[0266:BCAPDI]2.0.CO;2</v>
      </c>
      <c r="BG560" t="s">
        <v>74</v>
      </c>
      <c r="BH560" t="s">
        <v>74</v>
      </c>
      <c r="BI560">
        <v>5</v>
      </c>
      <c r="BJ560" t="s">
        <v>4072</v>
      </c>
      <c r="BK560" t="s">
        <v>170</v>
      </c>
      <c r="BL560" t="s">
        <v>1001</v>
      </c>
      <c r="BM560" t="s">
        <v>7867</v>
      </c>
      <c r="BN560" t="s">
        <v>74</v>
      </c>
      <c r="BO560" t="s">
        <v>173</v>
      </c>
      <c r="BP560" t="s">
        <v>74</v>
      </c>
      <c r="BQ560" t="s">
        <v>74</v>
      </c>
      <c r="BR560" t="s">
        <v>107</v>
      </c>
      <c r="BS560" t="s">
        <v>7868</v>
      </c>
      <c r="BT560" t="str">
        <f>HYPERLINK("https%3A%2F%2Fwww.webofscience.com%2Fwos%2Fwoscc%2Ffull-record%2FWOS:000174275200028","View Full Record in Web of Science")</f>
        <v>View Full Record in Web of Science</v>
      </c>
    </row>
    <row r="561" spans="1:72" x14ac:dyDescent="0.15">
      <c r="A561" t="s">
        <v>6989</v>
      </c>
      <c r="B561" t="s">
        <v>7869</v>
      </c>
      <c r="C561" t="s">
        <v>74</v>
      </c>
      <c r="D561" t="s">
        <v>74</v>
      </c>
      <c r="E561" t="s">
        <v>7870</v>
      </c>
      <c r="F561" t="s">
        <v>7869</v>
      </c>
      <c r="G561" t="s">
        <v>74</v>
      </c>
      <c r="H561" t="s">
        <v>74</v>
      </c>
      <c r="I561" t="s">
        <v>7871</v>
      </c>
      <c r="J561" t="s">
        <v>7872</v>
      </c>
      <c r="K561" t="s">
        <v>7873</v>
      </c>
      <c r="L561" t="s">
        <v>74</v>
      </c>
      <c r="M561" t="s">
        <v>7874</v>
      </c>
      <c r="N561" t="s">
        <v>6994</v>
      </c>
      <c r="O561" t="s">
        <v>7875</v>
      </c>
      <c r="P561" t="s">
        <v>7876</v>
      </c>
      <c r="Q561" t="s">
        <v>7877</v>
      </c>
      <c r="R561" t="s">
        <v>74</v>
      </c>
      <c r="S561" t="s">
        <v>74</v>
      </c>
      <c r="T561" t="s">
        <v>7878</v>
      </c>
      <c r="U561" t="s">
        <v>7879</v>
      </c>
      <c r="V561" t="s">
        <v>7880</v>
      </c>
      <c r="W561" t="s">
        <v>7881</v>
      </c>
      <c r="X561" t="s">
        <v>7882</v>
      </c>
      <c r="Y561" t="s">
        <v>7883</v>
      </c>
      <c r="Z561" t="s">
        <v>7884</v>
      </c>
      <c r="AA561" t="s">
        <v>7885</v>
      </c>
      <c r="AB561" t="s">
        <v>7886</v>
      </c>
      <c r="AC561" t="s">
        <v>74</v>
      </c>
      <c r="AD561" t="s">
        <v>74</v>
      </c>
      <c r="AE561" t="s">
        <v>74</v>
      </c>
      <c r="AF561" t="s">
        <v>74</v>
      </c>
      <c r="AG561">
        <v>142</v>
      </c>
      <c r="AH561">
        <v>0</v>
      </c>
      <c r="AI561">
        <v>0</v>
      </c>
      <c r="AJ561">
        <v>0</v>
      </c>
      <c r="AK561">
        <v>4</v>
      </c>
      <c r="AL561" t="s">
        <v>7887</v>
      </c>
      <c r="AM561" t="s">
        <v>7888</v>
      </c>
      <c r="AN561" t="s">
        <v>7889</v>
      </c>
      <c r="AO561" t="s">
        <v>7890</v>
      </c>
      <c r="AP561" t="s">
        <v>74</v>
      </c>
      <c r="AQ561" t="s">
        <v>74</v>
      </c>
      <c r="AR561" t="s">
        <v>7891</v>
      </c>
      <c r="AS561" t="s">
        <v>7892</v>
      </c>
      <c r="AT561" t="s">
        <v>74</v>
      </c>
      <c r="AU561">
        <v>2002</v>
      </c>
      <c r="AV561">
        <v>26</v>
      </c>
      <c r="AW561">
        <v>4</v>
      </c>
      <c r="AX561" t="s">
        <v>74</v>
      </c>
      <c r="AY561" t="s">
        <v>74</v>
      </c>
      <c r="AZ561" t="s">
        <v>74</v>
      </c>
      <c r="BA561" t="s">
        <v>74</v>
      </c>
      <c r="BB561">
        <v>711</v>
      </c>
      <c r="BC561">
        <v>746</v>
      </c>
      <c r="BD561" t="s">
        <v>74</v>
      </c>
      <c r="BE561" t="s">
        <v>74</v>
      </c>
      <c r="BF561" t="s">
        <v>74</v>
      </c>
      <c r="BG561" t="s">
        <v>74</v>
      </c>
      <c r="BH561" t="s">
        <v>74</v>
      </c>
      <c r="BI561">
        <v>36</v>
      </c>
      <c r="BJ561" t="s">
        <v>1155</v>
      </c>
      <c r="BK561" t="s">
        <v>7004</v>
      </c>
      <c r="BL561" t="s">
        <v>1155</v>
      </c>
      <c r="BM561" t="s">
        <v>7893</v>
      </c>
      <c r="BN561" t="s">
        <v>74</v>
      </c>
      <c r="BO561" t="s">
        <v>74</v>
      </c>
      <c r="BP561" t="s">
        <v>74</v>
      </c>
      <c r="BQ561" t="s">
        <v>74</v>
      </c>
      <c r="BR561" t="s">
        <v>107</v>
      </c>
      <c r="BS561" t="s">
        <v>7894</v>
      </c>
      <c r="BT561" t="str">
        <f>HYPERLINK("https%3A%2F%2Fwww.webofscience.com%2Fwos%2Fwoscc%2Ffull-record%2FWOS:000184321900008","View Full Record in Web of Science")</f>
        <v>View Full Record in Web of Science</v>
      </c>
    </row>
    <row r="562" spans="1:72" x14ac:dyDescent="0.15">
      <c r="A562" t="s">
        <v>72</v>
      </c>
      <c r="B562" t="s">
        <v>7895</v>
      </c>
      <c r="C562" t="s">
        <v>74</v>
      </c>
      <c r="D562" t="s">
        <v>74</v>
      </c>
      <c r="E562" t="s">
        <v>74</v>
      </c>
      <c r="F562" t="s">
        <v>7895</v>
      </c>
      <c r="G562" t="s">
        <v>74</v>
      </c>
      <c r="H562" t="s">
        <v>74</v>
      </c>
      <c r="I562" t="s">
        <v>7896</v>
      </c>
      <c r="J562" t="s">
        <v>3658</v>
      </c>
      <c r="K562" t="s">
        <v>74</v>
      </c>
      <c r="L562" t="s">
        <v>74</v>
      </c>
      <c r="M562" t="s">
        <v>77</v>
      </c>
      <c r="N562" t="s">
        <v>78</v>
      </c>
      <c r="O562" t="s">
        <v>7897</v>
      </c>
      <c r="P562" t="s">
        <v>7898</v>
      </c>
      <c r="Q562" t="s">
        <v>7899</v>
      </c>
      <c r="R562" t="s">
        <v>74</v>
      </c>
      <c r="S562" t="s">
        <v>74</v>
      </c>
      <c r="T562" t="s">
        <v>7900</v>
      </c>
      <c r="U562" t="s">
        <v>7901</v>
      </c>
      <c r="V562" t="s">
        <v>7902</v>
      </c>
      <c r="W562" t="s">
        <v>7903</v>
      </c>
      <c r="X562" t="s">
        <v>7904</v>
      </c>
      <c r="Y562" t="s">
        <v>7905</v>
      </c>
      <c r="Z562" t="s">
        <v>7906</v>
      </c>
      <c r="AA562" t="s">
        <v>74</v>
      </c>
      <c r="AB562" t="s">
        <v>74</v>
      </c>
      <c r="AC562" t="s">
        <v>74</v>
      </c>
      <c r="AD562" t="s">
        <v>74</v>
      </c>
      <c r="AE562" t="s">
        <v>74</v>
      </c>
      <c r="AF562" t="s">
        <v>74</v>
      </c>
      <c r="AG562">
        <v>26</v>
      </c>
      <c r="AH562">
        <v>7</v>
      </c>
      <c r="AI562">
        <v>7</v>
      </c>
      <c r="AJ562">
        <v>0</v>
      </c>
      <c r="AK562">
        <v>0</v>
      </c>
      <c r="AL562" t="s">
        <v>2372</v>
      </c>
      <c r="AM562" t="s">
        <v>2373</v>
      </c>
      <c r="AN562" t="s">
        <v>2374</v>
      </c>
      <c r="AO562" t="s">
        <v>3665</v>
      </c>
      <c r="AP562" t="s">
        <v>3666</v>
      </c>
      <c r="AQ562" t="s">
        <v>74</v>
      </c>
      <c r="AR562" t="s">
        <v>3658</v>
      </c>
      <c r="AS562" t="s">
        <v>3667</v>
      </c>
      <c r="AT562" t="s">
        <v>74</v>
      </c>
      <c r="AU562">
        <v>2002</v>
      </c>
      <c r="AV562">
        <v>57</v>
      </c>
      <c r="AW562" t="s">
        <v>74</v>
      </c>
      <c r="AX562" t="s">
        <v>74</v>
      </c>
      <c r="AY562">
        <v>11</v>
      </c>
      <c r="AZ562" t="s">
        <v>74</v>
      </c>
      <c r="BA562" t="s">
        <v>74</v>
      </c>
      <c r="BB562">
        <v>213</v>
      </c>
      <c r="BC562">
        <v>219</v>
      </c>
      <c r="BD562" t="s">
        <v>74</v>
      </c>
      <c r="BE562" t="s">
        <v>74</v>
      </c>
      <c r="BF562" t="s">
        <v>74</v>
      </c>
      <c r="BG562" t="s">
        <v>74</v>
      </c>
      <c r="BH562" t="s">
        <v>74</v>
      </c>
      <c r="BI562">
        <v>7</v>
      </c>
      <c r="BJ562" t="s">
        <v>1814</v>
      </c>
      <c r="BK562" t="s">
        <v>103</v>
      </c>
      <c r="BL562" t="s">
        <v>1815</v>
      </c>
      <c r="BM562" t="s">
        <v>7907</v>
      </c>
      <c r="BN562" t="s">
        <v>74</v>
      </c>
      <c r="BO562" t="s">
        <v>74</v>
      </c>
      <c r="BP562" t="s">
        <v>74</v>
      </c>
      <c r="BQ562" t="s">
        <v>74</v>
      </c>
      <c r="BR562" t="s">
        <v>107</v>
      </c>
      <c r="BS562" t="s">
        <v>7908</v>
      </c>
      <c r="BT562" t="str">
        <f>HYPERLINK("https%3A%2F%2Fwww.webofscience.com%2Fwos%2Fwoscc%2Ffull-record%2FWOS:000180394500025","View Full Record in Web of Science")</f>
        <v>View Full Record in Web of Science</v>
      </c>
    </row>
    <row r="563" spans="1:72" x14ac:dyDescent="0.15">
      <c r="A563" t="s">
        <v>72</v>
      </c>
      <c r="B563" t="s">
        <v>7909</v>
      </c>
      <c r="C563" t="s">
        <v>74</v>
      </c>
      <c r="D563" t="s">
        <v>74</v>
      </c>
      <c r="E563" t="s">
        <v>74</v>
      </c>
      <c r="F563" t="s">
        <v>7909</v>
      </c>
      <c r="G563" t="s">
        <v>74</v>
      </c>
      <c r="H563" t="s">
        <v>74</v>
      </c>
      <c r="I563" t="s">
        <v>7910</v>
      </c>
      <c r="J563" t="s">
        <v>927</v>
      </c>
      <c r="K563" t="s">
        <v>74</v>
      </c>
      <c r="L563" t="s">
        <v>74</v>
      </c>
      <c r="M563" t="s">
        <v>77</v>
      </c>
      <c r="N563" t="s">
        <v>153</v>
      </c>
      <c r="O563" t="s">
        <v>74</v>
      </c>
      <c r="P563" t="s">
        <v>74</v>
      </c>
      <c r="Q563" t="s">
        <v>74</v>
      </c>
      <c r="R563" t="s">
        <v>74</v>
      </c>
      <c r="S563" t="s">
        <v>74</v>
      </c>
      <c r="T563" t="s">
        <v>74</v>
      </c>
      <c r="U563" t="s">
        <v>7911</v>
      </c>
      <c r="V563" t="s">
        <v>7912</v>
      </c>
      <c r="W563" t="s">
        <v>7913</v>
      </c>
      <c r="X563" t="s">
        <v>7914</v>
      </c>
      <c r="Y563" t="s">
        <v>7915</v>
      </c>
      <c r="Z563" t="s">
        <v>7916</v>
      </c>
      <c r="AA563" t="s">
        <v>7917</v>
      </c>
      <c r="AB563" t="s">
        <v>7918</v>
      </c>
      <c r="AC563" t="s">
        <v>7919</v>
      </c>
      <c r="AD563" t="s">
        <v>7920</v>
      </c>
      <c r="AE563" t="s">
        <v>74</v>
      </c>
      <c r="AF563" t="s">
        <v>74</v>
      </c>
      <c r="AG563">
        <v>48</v>
      </c>
      <c r="AH563">
        <v>40</v>
      </c>
      <c r="AI563">
        <v>54</v>
      </c>
      <c r="AJ563">
        <v>0</v>
      </c>
      <c r="AK563">
        <v>26</v>
      </c>
      <c r="AL563" t="s">
        <v>7921</v>
      </c>
      <c r="AM563" t="s">
        <v>5426</v>
      </c>
      <c r="AN563" t="s">
        <v>7922</v>
      </c>
      <c r="AO563" t="s">
        <v>936</v>
      </c>
      <c r="AP563" t="s">
        <v>7923</v>
      </c>
      <c r="AQ563" t="s">
        <v>74</v>
      </c>
      <c r="AR563" t="s">
        <v>937</v>
      </c>
      <c r="AS563" t="s">
        <v>938</v>
      </c>
      <c r="AT563" t="s">
        <v>7127</v>
      </c>
      <c r="AU563">
        <v>2002</v>
      </c>
      <c r="AV563">
        <v>82</v>
      </c>
      <c r="AW563">
        <v>1</v>
      </c>
      <c r="AX563" t="s">
        <v>74</v>
      </c>
      <c r="AY563" t="s">
        <v>74</v>
      </c>
      <c r="AZ563" t="s">
        <v>74</v>
      </c>
      <c r="BA563" t="s">
        <v>74</v>
      </c>
      <c r="BB563">
        <v>464</v>
      </c>
      <c r="BC563">
        <v>473</v>
      </c>
      <c r="BD563" t="s">
        <v>74</v>
      </c>
      <c r="BE563" t="s">
        <v>7924</v>
      </c>
      <c r="BF563" t="str">
        <f>HYPERLINK("http://dx.doi.org/10.1016/S0006-3495(02)75411-8","http://dx.doi.org/10.1016/S0006-3495(02)75411-8")</f>
        <v>http://dx.doi.org/10.1016/S0006-3495(02)75411-8</v>
      </c>
      <c r="BG563" t="s">
        <v>74</v>
      </c>
      <c r="BH563" t="s">
        <v>74</v>
      </c>
      <c r="BI563">
        <v>10</v>
      </c>
      <c r="BJ563" t="s">
        <v>940</v>
      </c>
      <c r="BK563" t="s">
        <v>170</v>
      </c>
      <c r="BL563" t="s">
        <v>940</v>
      </c>
      <c r="BM563" t="s">
        <v>7925</v>
      </c>
      <c r="BN563">
        <v>11751333</v>
      </c>
      <c r="BO563" t="s">
        <v>942</v>
      </c>
      <c r="BP563" t="s">
        <v>74</v>
      </c>
      <c r="BQ563" t="s">
        <v>74</v>
      </c>
      <c r="BR563" t="s">
        <v>107</v>
      </c>
      <c r="BS563" t="s">
        <v>7926</v>
      </c>
      <c r="BT563" t="str">
        <f>HYPERLINK("https%3A%2F%2Fwww.webofscience.com%2Fwos%2Fwoscc%2Ffull-record%2FWOS:000173250500044","View Full Record in Web of Science")</f>
        <v>View Full Record in Web of Science</v>
      </c>
    </row>
    <row r="564" spans="1:72" x14ac:dyDescent="0.15">
      <c r="A564" t="s">
        <v>72</v>
      </c>
      <c r="B564" t="s">
        <v>7927</v>
      </c>
      <c r="C564" t="s">
        <v>74</v>
      </c>
      <c r="D564" t="s">
        <v>74</v>
      </c>
      <c r="E564" t="s">
        <v>74</v>
      </c>
      <c r="F564" t="s">
        <v>7927</v>
      </c>
      <c r="G564" t="s">
        <v>74</v>
      </c>
      <c r="H564" t="s">
        <v>74</v>
      </c>
      <c r="I564" t="s">
        <v>7928</v>
      </c>
      <c r="J564" t="s">
        <v>2364</v>
      </c>
      <c r="K564" t="s">
        <v>74</v>
      </c>
      <c r="L564" t="s">
        <v>74</v>
      </c>
      <c r="M564" t="s">
        <v>77</v>
      </c>
      <c r="N564" t="s">
        <v>153</v>
      </c>
      <c r="O564" t="s">
        <v>74</v>
      </c>
      <c r="P564" t="s">
        <v>74</v>
      </c>
      <c r="Q564" t="s">
        <v>74</v>
      </c>
      <c r="R564" t="s">
        <v>74</v>
      </c>
      <c r="S564" t="s">
        <v>74</v>
      </c>
      <c r="T564" t="s">
        <v>74</v>
      </c>
      <c r="U564" t="s">
        <v>7929</v>
      </c>
      <c r="V564" t="s">
        <v>7930</v>
      </c>
      <c r="W564" t="s">
        <v>7931</v>
      </c>
      <c r="X564" t="s">
        <v>3801</v>
      </c>
      <c r="Y564" t="s">
        <v>7932</v>
      </c>
      <c r="Z564" t="s">
        <v>74</v>
      </c>
      <c r="AA564" t="s">
        <v>3803</v>
      </c>
      <c r="AB564" t="s">
        <v>3804</v>
      </c>
      <c r="AC564" t="s">
        <v>74</v>
      </c>
      <c r="AD564" t="s">
        <v>74</v>
      </c>
      <c r="AE564" t="s">
        <v>74</v>
      </c>
      <c r="AF564" t="s">
        <v>74</v>
      </c>
      <c r="AG564">
        <v>53</v>
      </c>
      <c r="AH564">
        <v>126</v>
      </c>
      <c r="AI564">
        <v>142</v>
      </c>
      <c r="AJ564">
        <v>0</v>
      </c>
      <c r="AK564">
        <v>47</v>
      </c>
      <c r="AL564" t="s">
        <v>7933</v>
      </c>
      <c r="AM564" t="s">
        <v>2373</v>
      </c>
      <c r="AN564" t="s">
        <v>2374</v>
      </c>
      <c r="AO564" t="s">
        <v>2375</v>
      </c>
      <c r="AP564" t="s">
        <v>74</v>
      </c>
      <c r="AQ564" t="s">
        <v>74</v>
      </c>
      <c r="AR564" t="s">
        <v>2377</v>
      </c>
      <c r="AS564" t="s">
        <v>2378</v>
      </c>
      <c r="AT564" t="s">
        <v>7127</v>
      </c>
      <c r="AU564">
        <v>2002</v>
      </c>
      <c r="AV564">
        <v>45</v>
      </c>
      <c r="AW564">
        <v>1</v>
      </c>
      <c r="AX564" t="s">
        <v>74</v>
      </c>
      <c r="AY564" t="s">
        <v>74</v>
      </c>
      <c r="AZ564" t="s">
        <v>74</v>
      </c>
      <c r="BA564" t="s">
        <v>74</v>
      </c>
      <c r="BB564">
        <v>58</v>
      </c>
      <c r="BC564">
        <v>65</v>
      </c>
      <c r="BD564" t="s">
        <v>74</v>
      </c>
      <c r="BE564" t="s">
        <v>7934</v>
      </c>
      <c r="BF564" t="str">
        <f>HYPERLINK("http://dx.doi.org/10.1515/BOT.2002.007","http://dx.doi.org/10.1515/BOT.2002.007")</f>
        <v>http://dx.doi.org/10.1515/BOT.2002.007</v>
      </c>
      <c r="BG564" t="s">
        <v>74</v>
      </c>
      <c r="BH564" t="s">
        <v>74</v>
      </c>
      <c r="BI564">
        <v>8</v>
      </c>
      <c r="BJ564" t="s">
        <v>2380</v>
      </c>
      <c r="BK564" t="s">
        <v>170</v>
      </c>
      <c r="BL564" t="s">
        <v>2380</v>
      </c>
      <c r="BM564" t="s">
        <v>7935</v>
      </c>
      <c r="BN564" t="s">
        <v>74</v>
      </c>
      <c r="BO564" t="s">
        <v>74</v>
      </c>
      <c r="BP564" t="s">
        <v>74</v>
      </c>
      <c r="BQ564" t="s">
        <v>74</v>
      </c>
      <c r="BR564" t="s">
        <v>107</v>
      </c>
      <c r="BS564" t="s">
        <v>7936</v>
      </c>
      <c r="BT564" t="str">
        <f>HYPERLINK("https%3A%2F%2Fwww.webofscience.com%2Fwos%2Fwoscc%2Ffull-record%2FWOS:000174253200007","View Full Record in Web of Science")</f>
        <v>View Full Record in Web of Science</v>
      </c>
    </row>
    <row r="565" spans="1:72" x14ac:dyDescent="0.15">
      <c r="A565" t="s">
        <v>72</v>
      </c>
      <c r="B565" t="s">
        <v>7937</v>
      </c>
      <c r="C565" t="s">
        <v>74</v>
      </c>
      <c r="D565" t="s">
        <v>74</v>
      </c>
      <c r="E565" t="s">
        <v>74</v>
      </c>
      <c r="F565" t="s">
        <v>7937</v>
      </c>
      <c r="G565" t="s">
        <v>74</v>
      </c>
      <c r="H565" t="s">
        <v>74</v>
      </c>
      <c r="I565" t="s">
        <v>7938</v>
      </c>
      <c r="J565" t="s">
        <v>7939</v>
      </c>
      <c r="K565" t="s">
        <v>74</v>
      </c>
      <c r="L565" t="s">
        <v>74</v>
      </c>
      <c r="M565" t="s">
        <v>77</v>
      </c>
      <c r="N565" t="s">
        <v>78</v>
      </c>
      <c r="O565" t="s">
        <v>7940</v>
      </c>
      <c r="P565" t="s">
        <v>7941</v>
      </c>
      <c r="Q565" t="s">
        <v>7942</v>
      </c>
      <c r="R565" t="s">
        <v>74</v>
      </c>
      <c r="S565" t="s">
        <v>74</v>
      </c>
      <c r="T565" t="s">
        <v>74</v>
      </c>
      <c r="U565" t="s">
        <v>7943</v>
      </c>
      <c r="V565" t="s">
        <v>74</v>
      </c>
      <c r="W565" t="s">
        <v>7944</v>
      </c>
      <c r="X565" t="s">
        <v>7945</v>
      </c>
      <c r="Y565" t="s">
        <v>7946</v>
      </c>
      <c r="Z565" t="s">
        <v>74</v>
      </c>
      <c r="AA565" t="s">
        <v>74</v>
      </c>
      <c r="AB565" t="s">
        <v>74</v>
      </c>
      <c r="AC565" t="s">
        <v>74</v>
      </c>
      <c r="AD565" t="s">
        <v>74</v>
      </c>
      <c r="AE565" t="s">
        <v>74</v>
      </c>
      <c r="AF565" t="s">
        <v>74</v>
      </c>
      <c r="AG565">
        <v>23</v>
      </c>
      <c r="AH565">
        <v>10</v>
      </c>
      <c r="AI565">
        <v>10</v>
      </c>
      <c r="AJ565">
        <v>1</v>
      </c>
      <c r="AK565">
        <v>2</v>
      </c>
      <c r="AL565" t="s">
        <v>7939</v>
      </c>
      <c r="AM565" t="s">
        <v>7947</v>
      </c>
      <c r="AN565" t="s">
        <v>7948</v>
      </c>
      <c r="AO565" t="s">
        <v>7949</v>
      </c>
      <c r="AP565" t="s">
        <v>74</v>
      </c>
      <c r="AQ565" t="s">
        <v>74</v>
      </c>
      <c r="AR565" t="s">
        <v>7950</v>
      </c>
      <c r="AS565" t="s">
        <v>7951</v>
      </c>
      <c r="AT565" t="s">
        <v>74</v>
      </c>
      <c r="AU565">
        <v>2002</v>
      </c>
      <c r="AV565">
        <v>43</v>
      </c>
      <c r="AW565" t="s">
        <v>436</v>
      </c>
      <c r="AX565" t="s">
        <v>74</v>
      </c>
      <c r="AY565" t="s">
        <v>74</v>
      </c>
      <c r="AZ565" t="s">
        <v>74</v>
      </c>
      <c r="BA565" t="s">
        <v>74</v>
      </c>
      <c r="BB565">
        <v>271</v>
      </c>
      <c r="BC565">
        <v>274</v>
      </c>
      <c r="BD565" t="s">
        <v>74</v>
      </c>
      <c r="BE565" t="s">
        <v>74</v>
      </c>
      <c r="BF565" t="s">
        <v>74</v>
      </c>
      <c r="BG565" t="s">
        <v>74</v>
      </c>
      <c r="BH565" t="s">
        <v>74</v>
      </c>
      <c r="BI565">
        <v>4</v>
      </c>
      <c r="BJ565" t="s">
        <v>1919</v>
      </c>
      <c r="BK565" t="s">
        <v>744</v>
      </c>
      <c r="BL565" t="s">
        <v>1919</v>
      </c>
      <c r="BM565" t="s">
        <v>7952</v>
      </c>
      <c r="BN565" t="s">
        <v>74</v>
      </c>
      <c r="BO565" t="s">
        <v>74</v>
      </c>
      <c r="BP565" t="s">
        <v>74</v>
      </c>
      <c r="BQ565" t="s">
        <v>74</v>
      </c>
      <c r="BR565" t="s">
        <v>107</v>
      </c>
      <c r="BS565" t="s">
        <v>7953</v>
      </c>
      <c r="BT565" t="str">
        <f>HYPERLINK("https%3A%2F%2Fwww.webofscience.com%2Fwos%2Fwoscc%2Ffull-record%2FWOS:000179938200012","View Full Record in Web of Science")</f>
        <v>View Full Record in Web of Science</v>
      </c>
    </row>
    <row r="566" spans="1:72" x14ac:dyDescent="0.15">
      <c r="A566" t="s">
        <v>6989</v>
      </c>
      <c r="B566" t="s">
        <v>7954</v>
      </c>
      <c r="C566" t="s">
        <v>74</v>
      </c>
      <c r="D566" t="s">
        <v>7955</v>
      </c>
      <c r="E566" t="s">
        <v>74</v>
      </c>
      <c r="F566" t="s">
        <v>7954</v>
      </c>
      <c r="G566" t="s">
        <v>74</v>
      </c>
      <c r="H566" t="s">
        <v>74</v>
      </c>
      <c r="I566" t="s">
        <v>7956</v>
      </c>
      <c r="J566" t="s">
        <v>7957</v>
      </c>
      <c r="K566" t="s">
        <v>7958</v>
      </c>
      <c r="L566" t="s">
        <v>74</v>
      </c>
      <c r="M566" t="s">
        <v>77</v>
      </c>
      <c r="N566" t="s">
        <v>6994</v>
      </c>
      <c r="O566" t="s">
        <v>7959</v>
      </c>
      <c r="P566" t="s">
        <v>7960</v>
      </c>
      <c r="Q566" t="s">
        <v>7961</v>
      </c>
      <c r="R566" t="s">
        <v>74</v>
      </c>
      <c r="S566" t="s">
        <v>7962</v>
      </c>
      <c r="T566" t="s">
        <v>74</v>
      </c>
      <c r="U566" t="s">
        <v>7963</v>
      </c>
      <c r="V566" t="s">
        <v>7964</v>
      </c>
      <c r="W566" t="s">
        <v>7965</v>
      </c>
      <c r="X566" t="s">
        <v>7966</v>
      </c>
      <c r="Y566" t="s">
        <v>7967</v>
      </c>
      <c r="Z566" t="s">
        <v>7968</v>
      </c>
      <c r="AA566" t="s">
        <v>7969</v>
      </c>
      <c r="AB566" t="s">
        <v>7970</v>
      </c>
      <c r="AC566" t="s">
        <v>74</v>
      </c>
      <c r="AD566" t="s">
        <v>74</v>
      </c>
      <c r="AE566" t="s">
        <v>74</v>
      </c>
      <c r="AF566" t="s">
        <v>74</v>
      </c>
      <c r="AG566">
        <v>80</v>
      </c>
      <c r="AH566">
        <v>24</v>
      </c>
      <c r="AI566">
        <v>27</v>
      </c>
      <c r="AJ566">
        <v>0</v>
      </c>
      <c r="AK566">
        <v>2</v>
      </c>
      <c r="AL566" t="s">
        <v>7971</v>
      </c>
      <c r="AM566" t="s">
        <v>1350</v>
      </c>
      <c r="AN566" t="s">
        <v>7972</v>
      </c>
      <c r="AO566" t="s">
        <v>7973</v>
      </c>
      <c r="AP566" t="s">
        <v>74</v>
      </c>
      <c r="AQ566" t="s">
        <v>7974</v>
      </c>
      <c r="AR566" t="s">
        <v>7975</v>
      </c>
      <c r="AS566" t="s">
        <v>74</v>
      </c>
      <c r="AT566" t="s">
        <v>74</v>
      </c>
      <c r="AU566">
        <v>2002</v>
      </c>
      <c r="AV566">
        <v>356</v>
      </c>
      <c r="AW566" t="s">
        <v>74</v>
      </c>
      <c r="AX566" t="s">
        <v>74</v>
      </c>
      <c r="AY566" t="s">
        <v>74</v>
      </c>
      <c r="AZ566" t="s">
        <v>74</v>
      </c>
      <c r="BA566" t="s">
        <v>74</v>
      </c>
      <c r="BB566">
        <v>231</v>
      </c>
      <c r="BC566">
        <v>251</v>
      </c>
      <c r="BD566" t="s">
        <v>74</v>
      </c>
      <c r="BE566" t="s">
        <v>74</v>
      </c>
      <c r="BF566" t="s">
        <v>74</v>
      </c>
      <c r="BG566" t="s">
        <v>74</v>
      </c>
      <c r="BH566" t="s">
        <v>74</v>
      </c>
      <c r="BI566">
        <v>21</v>
      </c>
      <c r="BJ566" t="s">
        <v>7976</v>
      </c>
      <c r="BK566" t="s">
        <v>7004</v>
      </c>
      <c r="BL566" t="s">
        <v>7976</v>
      </c>
      <c r="BM566" t="s">
        <v>7977</v>
      </c>
      <c r="BN566" t="s">
        <v>74</v>
      </c>
      <c r="BO566" t="s">
        <v>74</v>
      </c>
      <c r="BP566" t="s">
        <v>74</v>
      </c>
      <c r="BQ566" t="s">
        <v>74</v>
      </c>
      <c r="BR566" t="s">
        <v>107</v>
      </c>
      <c r="BS566" t="s">
        <v>7978</v>
      </c>
      <c r="BT566" t="str">
        <f>HYPERLINK("https%3A%2F%2Fwww.webofscience.com%2Fwos%2Fwoscc%2Ffull-record%2FWOS:000178575200017","View Full Record in Web of Science")</f>
        <v>View Full Record in Web of Science</v>
      </c>
    </row>
    <row r="567" spans="1:72" x14ac:dyDescent="0.15">
      <c r="A567" t="s">
        <v>72</v>
      </c>
      <c r="B567" t="s">
        <v>7979</v>
      </c>
      <c r="C567" t="s">
        <v>74</v>
      </c>
      <c r="D567" t="s">
        <v>74</v>
      </c>
      <c r="E567" t="s">
        <v>74</v>
      </c>
      <c r="F567" t="s">
        <v>7979</v>
      </c>
      <c r="G567" t="s">
        <v>74</v>
      </c>
      <c r="H567" t="s">
        <v>74</v>
      </c>
      <c r="I567" t="s">
        <v>7980</v>
      </c>
      <c r="J567" t="s">
        <v>7981</v>
      </c>
      <c r="K567" t="s">
        <v>74</v>
      </c>
      <c r="L567" t="s">
        <v>74</v>
      </c>
      <c r="M567" t="s">
        <v>77</v>
      </c>
      <c r="N567" t="s">
        <v>153</v>
      </c>
      <c r="O567" t="s">
        <v>74</v>
      </c>
      <c r="P567" t="s">
        <v>74</v>
      </c>
      <c r="Q567" t="s">
        <v>74</v>
      </c>
      <c r="R567" t="s">
        <v>74</v>
      </c>
      <c r="S567" t="s">
        <v>74</v>
      </c>
      <c r="T567" t="s">
        <v>7982</v>
      </c>
      <c r="U567" t="s">
        <v>7983</v>
      </c>
      <c r="V567" t="s">
        <v>7984</v>
      </c>
      <c r="W567" t="s">
        <v>7985</v>
      </c>
      <c r="X567" t="s">
        <v>7986</v>
      </c>
      <c r="Y567" t="s">
        <v>799</v>
      </c>
      <c r="Z567" t="s">
        <v>7987</v>
      </c>
      <c r="AA567" t="s">
        <v>7988</v>
      </c>
      <c r="AB567" t="s">
        <v>74</v>
      </c>
      <c r="AC567" t="s">
        <v>74</v>
      </c>
      <c r="AD567" t="s">
        <v>74</v>
      </c>
      <c r="AE567" t="s">
        <v>74</v>
      </c>
      <c r="AF567" t="s">
        <v>74</v>
      </c>
      <c r="AG567">
        <v>15</v>
      </c>
      <c r="AH567">
        <v>40</v>
      </c>
      <c r="AI567">
        <v>40</v>
      </c>
      <c r="AJ567">
        <v>0</v>
      </c>
      <c r="AK567">
        <v>3</v>
      </c>
      <c r="AL567" t="s">
        <v>7989</v>
      </c>
      <c r="AM567" t="s">
        <v>7990</v>
      </c>
      <c r="AN567" t="s">
        <v>7991</v>
      </c>
      <c r="AO567" t="s">
        <v>7992</v>
      </c>
      <c r="AP567" t="s">
        <v>74</v>
      </c>
      <c r="AQ567" t="s">
        <v>74</v>
      </c>
      <c r="AR567" t="s">
        <v>7993</v>
      </c>
      <c r="AS567" t="s">
        <v>7994</v>
      </c>
      <c r="AT567" t="s">
        <v>74</v>
      </c>
      <c r="AU567">
        <v>2002</v>
      </c>
      <c r="AV567">
        <v>9</v>
      </c>
      <c r="AW567" t="s">
        <v>74</v>
      </c>
      <c r="AX567" t="s">
        <v>74</v>
      </c>
      <c r="AY567" t="s">
        <v>74</v>
      </c>
      <c r="AZ567" t="s">
        <v>74</v>
      </c>
      <c r="BA567" t="s">
        <v>74</v>
      </c>
      <c r="BB567">
        <v>33</v>
      </c>
      <c r="BC567">
        <v>48</v>
      </c>
      <c r="BD567" t="s">
        <v>74</v>
      </c>
      <c r="BE567" t="s">
        <v>74</v>
      </c>
      <c r="BF567" t="s">
        <v>74</v>
      </c>
      <c r="BG567" t="s">
        <v>74</v>
      </c>
      <c r="BH567" t="s">
        <v>74</v>
      </c>
      <c r="BI567">
        <v>16</v>
      </c>
      <c r="BJ567" t="s">
        <v>1275</v>
      </c>
      <c r="BK567" t="s">
        <v>170</v>
      </c>
      <c r="BL567" t="s">
        <v>1275</v>
      </c>
      <c r="BM567" t="s">
        <v>7995</v>
      </c>
      <c r="BN567" t="s">
        <v>74</v>
      </c>
      <c r="BO567" t="s">
        <v>74</v>
      </c>
      <c r="BP567" t="s">
        <v>74</v>
      </c>
      <c r="BQ567" t="s">
        <v>74</v>
      </c>
      <c r="BR567" t="s">
        <v>107</v>
      </c>
      <c r="BS567" t="s">
        <v>7996</v>
      </c>
      <c r="BT567" t="str">
        <f>HYPERLINK("https%3A%2F%2Fwww.webofscience.com%2Fwos%2Fwoscc%2Ffull-record%2FWOS:000179438500004","View Full Record in Web of Science")</f>
        <v>View Full Record in Web of Science</v>
      </c>
    </row>
    <row r="568" spans="1:72" x14ac:dyDescent="0.15">
      <c r="A568" t="s">
        <v>72</v>
      </c>
      <c r="B568" t="s">
        <v>7997</v>
      </c>
      <c r="C568" t="s">
        <v>74</v>
      </c>
      <c r="D568" t="s">
        <v>74</v>
      </c>
      <c r="E568" t="s">
        <v>74</v>
      </c>
      <c r="F568" t="s">
        <v>7997</v>
      </c>
      <c r="G568" t="s">
        <v>74</v>
      </c>
      <c r="H568" t="s">
        <v>74</v>
      </c>
      <c r="I568" t="s">
        <v>7998</v>
      </c>
      <c r="J568" t="s">
        <v>7981</v>
      </c>
      <c r="K568" t="s">
        <v>74</v>
      </c>
      <c r="L568" t="s">
        <v>74</v>
      </c>
      <c r="M568" t="s">
        <v>77</v>
      </c>
      <c r="N568" t="s">
        <v>153</v>
      </c>
      <c r="O568" t="s">
        <v>74</v>
      </c>
      <c r="P568" t="s">
        <v>74</v>
      </c>
      <c r="Q568" t="s">
        <v>74</v>
      </c>
      <c r="R568" t="s">
        <v>74</v>
      </c>
      <c r="S568" t="s">
        <v>74</v>
      </c>
      <c r="T568" t="s">
        <v>7999</v>
      </c>
      <c r="U568" t="s">
        <v>8000</v>
      </c>
      <c r="V568" t="s">
        <v>8001</v>
      </c>
      <c r="W568" t="s">
        <v>2466</v>
      </c>
      <c r="X568" t="s">
        <v>852</v>
      </c>
      <c r="Y568" t="s">
        <v>4898</v>
      </c>
      <c r="Z568" t="s">
        <v>74</v>
      </c>
      <c r="AA568" t="s">
        <v>8002</v>
      </c>
      <c r="AB568" t="s">
        <v>8003</v>
      </c>
      <c r="AC568" t="s">
        <v>74</v>
      </c>
      <c r="AD568" t="s">
        <v>74</v>
      </c>
      <c r="AE568" t="s">
        <v>74</v>
      </c>
      <c r="AF568" t="s">
        <v>74</v>
      </c>
      <c r="AG568">
        <v>22</v>
      </c>
      <c r="AH568">
        <v>20</v>
      </c>
      <c r="AI568">
        <v>22</v>
      </c>
      <c r="AJ568">
        <v>0</v>
      </c>
      <c r="AK568">
        <v>1</v>
      </c>
      <c r="AL568" t="s">
        <v>7989</v>
      </c>
      <c r="AM568" t="s">
        <v>7990</v>
      </c>
      <c r="AN568" t="s">
        <v>7991</v>
      </c>
      <c r="AO568" t="s">
        <v>7992</v>
      </c>
      <c r="AP568" t="s">
        <v>74</v>
      </c>
      <c r="AQ568" t="s">
        <v>74</v>
      </c>
      <c r="AR568" t="s">
        <v>7993</v>
      </c>
      <c r="AS568" t="s">
        <v>7994</v>
      </c>
      <c r="AT568" t="s">
        <v>74</v>
      </c>
      <c r="AU568">
        <v>2002</v>
      </c>
      <c r="AV568">
        <v>9</v>
      </c>
      <c r="AW568" t="s">
        <v>74</v>
      </c>
      <c r="AX568" t="s">
        <v>74</v>
      </c>
      <c r="AY568" t="s">
        <v>74</v>
      </c>
      <c r="AZ568" t="s">
        <v>74</v>
      </c>
      <c r="BA568" t="s">
        <v>74</v>
      </c>
      <c r="BB568">
        <v>71</v>
      </c>
      <c r="BC568">
        <v>82</v>
      </c>
      <c r="BD568" t="s">
        <v>74</v>
      </c>
      <c r="BE568" t="s">
        <v>74</v>
      </c>
      <c r="BF568" t="s">
        <v>74</v>
      </c>
      <c r="BG568" t="s">
        <v>74</v>
      </c>
      <c r="BH568" t="s">
        <v>74</v>
      </c>
      <c r="BI568">
        <v>12</v>
      </c>
      <c r="BJ568" t="s">
        <v>1275</v>
      </c>
      <c r="BK568" t="s">
        <v>170</v>
      </c>
      <c r="BL568" t="s">
        <v>1275</v>
      </c>
      <c r="BM568" t="s">
        <v>7995</v>
      </c>
      <c r="BN568" t="s">
        <v>74</v>
      </c>
      <c r="BO568" t="s">
        <v>74</v>
      </c>
      <c r="BP568" t="s">
        <v>74</v>
      </c>
      <c r="BQ568" t="s">
        <v>74</v>
      </c>
      <c r="BR568" t="s">
        <v>107</v>
      </c>
      <c r="BS568" t="s">
        <v>8004</v>
      </c>
      <c r="BT568" t="str">
        <f>HYPERLINK("https%3A%2F%2Fwww.webofscience.com%2Fwos%2Fwoscc%2Ffull-record%2FWOS:000179438500006","View Full Record in Web of Science")</f>
        <v>View Full Record in Web of Science</v>
      </c>
    </row>
    <row r="569" spans="1:72" x14ac:dyDescent="0.15">
      <c r="A569" t="s">
        <v>72</v>
      </c>
      <c r="B569" t="s">
        <v>8005</v>
      </c>
      <c r="C569" t="s">
        <v>74</v>
      </c>
      <c r="D569" t="s">
        <v>74</v>
      </c>
      <c r="E569" t="s">
        <v>74</v>
      </c>
      <c r="F569" t="s">
        <v>8005</v>
      </c>
      <c r="G569" t="s">
        <v>74</v>
      </c>
      <c r="H569" t="s">
        <v>74</v>
      </c>
      <c r="I569" t="s">
        <v>8006</v>
      </c>
      <c r="J569" t="s">
        <v>7981</v>
      </c>
      <c r="K569" t="s">
        <v>74</v>
      </c>
      <c r="L569" t="s">
        <v>74</v>
      </c>
      <c r="M569" t="s">
        <v>77</v>
      </c>
      <c r="N569" t="s">
        <v>153</v>
      </c>
      <c r="O569" t="s">
        <v>74</v>
      </c>
      <c r="P569" t="s">
        <v>74</v>
      </c>
      <c r="Q569" t="s">
        <v>74</v>
      </c>
      <c r="R569" t="s">
        <v>74</v>
      </c>
      <c r="S569" t="s">
        <v>74</v>
      </c>
      <c r="T569" t="s">
        <v>8007</v>
      </c>
      <c r="U569" t="s">
        <v>8008</v>
      </c>
      <c r="V569" t="s">
        <v>8009</v>
      </c>
      <c r="W569" t="s">
        <v>8010</v>
      </c>
      <c r="X569" t="s">
        <v>74</v>
      </c>
      <c r="Y569" t="s">
        <v>8011</v>
      </c>
      <c r="Z569" t="s">
        <v>74</v>
      </c>
      <c r="AA569" t="s">
        <v>74</v>
      </c>
      <c r="AB569" t="s">
        <v>74</v>
      </c>
      <c r="AC569" t="s">
        <v>74</v>
      </c>
      <c r="AD569" t="s">
        <v>74</v>
      </c>
      <c r="AE569" t="s">
        <v>74</v>
      </c>
      <c r="AF569" t="s">
        <v>74</v>
      </c>
      <c r="AG569">
        <v>38</v>
      </c>
      <c r="AH569">
        <v>5</v>
      </c>
      <c r="AI569">
        <v>6</v>
      </c>
      <c r="AJ569">
        <v>1</v>
      </c>
      <c r="AK569">
        <v>1</v>
      </c>
      <c r="AL569" t="s">
        <v>7989</v>
      </c>
      <c r="AM569" t="s">
        <v>7990</v>
      </c>
      <c r="AN569" t="s">
        <v>7991</v>
      </c>
      <c r="AO569" t="s">
        <v>7992</v>
      </c>
      <c r="AP569" t="s">
        <v>74</v>
      </c>
      <c r="AQ569" t="s">
        <v>74</v>
      </c>
      <c r="AR569" t="s">
        <v>7993</v>
      </c>
      <c r="AS569" t="s">
        <v>7994</v>
      </c>
      <c r="AT569" t="s">
        <v>74</v>
      </c>
      <c r="AU569">
        <v>2002</v>
      </c>
      <c r="AV569">
        <v>9</v>
      </c>
      <c r="AW569" t="s">
        <v>74</v>
      </c>
      <c r="AX569" t="s">
        <v>74</v>
      </c>
      <c r="AY569" t="s">
        <v>74</v>
      </c>
      <c r="AZ569" t="s">
        <v>74</v>
      </c>
      <c r="BA569" t="s">
        <v>74</v>
      </c>
      <c r="BB569">
        <v>83</v>
      </c>
      <c r="BC569">
        <v>105</v>
      </c>
      <c r="BD569" t="s">
        <v>74</v>
      </c>
      <c r="BE569" t="s">
        <v>74</v>
      </c>
      <c r="BF569" t="s">
        <v>74</v>
      </c>
      <c r="BG569" t="s">
        <v>74</v>
      </c>
      <c r="BH569" t="s">
        <v>74</v>
      </c>
      <c r="BI569">
        <v>23</v>
      </c>
      <c r="BJ569" t="s">
        <v>1275</v>
      </c>
      <c r="BK569" t="s">
        <v>170</v>
      </c>
      <c r="BL569" t="s">
        <v>1275</v>
      </c>
      <c r="BM569" t="s">
        <v>7995</v>
      </c>
      <c r="BN569" t="s">
        <v>74</v>
      </c>
      <c r="BO569" t="s">
        <v>74</v>
      </c>
      <c r="BP569" t="s">
        <v>74</v>
      </c>
      <c r="BQ569" t="s">
        <v>74</v>
      </c>
      <c r="BR569" t="s">
        <v>107</v>
      </c>
      <c r="BS569" t="s">
        <v>8012</v>
      </c>
      <c r="BT569" t="str">
        <f>HYPERLINK("https%3A%2F%2Fwww.webofscience.com%2Fwos%2Fwoscc%2Ffull-record%2FWOS:000179438500007","View Full Record in Web of Science")</f>
        <v>View Full Record in Web of Science</v>
      </c>
    </row>
    <row r="570" spans="1:72" x14ac:dyDescent="0.15">
      <c r="A570" t="s">
        <v>72</v>
      </c>
      <c r="B570" t="s">
        <v>8013</v>
      </c>
      <c r="C570" t="s">
        <v>74</v>
      </c>
      <c r="D570" t="s">
        <v>74</v>
      </c>
      <c r="E570" t="s">
        <v>74</v>
      </c>
      <c r="F570" t="s">
        <v>8013</v>
      </c>
      <c r="G570" t="s">
        <v>74</v>
      </c>
      <c r="H570" t="s">
        <v>74</v>
      </c>
      <c r="I570" t="s">
        <v>8014</v>
      </c>
      <c r="J570" t="s">
        <v>7981</v>
      </c>
      <c r="K570" t="s">
        <v>74</v>
      </c>
      <c r="L570" t="s">
        <v>74</v>
      </c>
      <c r="M570" t="s">
        <v>77</v>
      </c>
      <c r="N570" t="s">
        <v>153</v>
      </c>
      <c r="O570" t="s">
        <v>74</v>
      </c>
      <c r="P570" t="s">
        <v>74</v>
      </c>
      <c r="Q570" t="s">
        <v>74</v>
      </c>
      <c r="R570" t="s">
        <v>74</v>
      </c>
      <c r="S570" t="s">
        <v>74</v>
      </c>
      <c r="T570" t="s">
        <v>8015</v>
      </c>
      <c r="U570" t="s">
        <v>8016</v>
      </c>
      <c r="V570" t="s">
        <v>8017</v>
      </c>
      <c r="W570" t="s">
        <v>1950</v>
      </c>
      <c r="X570" t="s">
        <v>1951</v>
      </c>
      <c r="Y570" t="s">
        <v>8018</v>
      </c>
      <c r="Z570" t="s">
        <v>74</v>
      </c>
      <c r="AA570" t="s">
        <v>8019</v>
      </c>
      <c r="AB570" t="s">
        <v>4038</v>
      </c>
      <c r="AC570" t="s">
        <v>74</v>
      </c>
      <c r="AD570" t="s">
        <v>74</v>
      </c>
      <c r="AE570" t="s">
        <v>74</v>
      </c>
      <c r="AF570" t="s">
        <v>74</v>
      </c>
      <c r="AG570">
        <v>32</v>
      </c>
      <c r="AH570">
        <v>9</v>
      </c>
      <c r="AI570">
        <v>9</v>
      </c>
      <c r="AJ570">
        <v>0</v>
      </c>
      <c r="AK570">
        <v>1</v>
      </c>
      <c r="AL570" t="s">
        <v>7989</v>
      </c>
      <c r="AM570" t="s">
        <v>7990</v>
      </c>
      <c r="AN570" t="s">
        <v>7991</v>
      </c>
      <c r="AO570" t="s">
        <v>7992</v>
      </c>
      <c r="AP570" t="s">
        <v>74</v>
      </c>
      <c r="AQ570" t="s">
        <v>74</v>
      </c>
      <c r="AR570" t="s">
        <v>7993</v>
      </c>
      <c r="AS570" t="s">
        <v>7994</v>
      </c>
      <c r="AT570" t="s">
        <v>74</v>
      </c>
      <c r="AU570">
        <v>2002</v>
      </c>
      <c r="AV570">
        <v>9</v>
      </c>
      <c r="AW570" t="s">
        <v>74</v>
      </c>
      <c r="AX570" t="s">
        <v>74</v>
      </c>
      <c r="AY570" t="s">
        <v>74</v>
      </c>
      <c r="AZ570" t="s">
        <v>74</v>
      </c>
      <c r="BA570" t="s">
        <v>74</v>
      </c>
      <c r="BB570">
        <v>107</v>
      </c>
      <c r="BC570">
        <v>116</v>
      </c>
      <c r="BD570" t="s">
        <v>74</v>
      </c>
      <c r="BE570" t="s">
        <v>74</v>
      </c>
      <c r="BF570" t="s">
        <v>74</v>
      </c>
      <c r="BG570" t="s">
        <v>74</v>
      </c>
      <c r="BH570" t="s">
        <v>74</v>
      </c>
      <c r="BI570">
        <v>10</v>
      </c>
      <c r="BJ570" t="s">
        <v>1275</v>
      </c>
      <c r="BK570" t="s">
        <v>170</v>
      </c>
      <c r="BL570" t="s">
        <v>1275</v>
      </c>
      <c r="BM570" t="s">
        <v>7995</v>
      </c>
      <c r="BN570" t="s">
        <v>74</v>
      </c>
      <c r="BO570" t="s">
        <v>74</v>
      </c>
      <c r="BP570" t="s">
        <v>74</v>
      </c>
      <c r="BQ570" t="s">
        <v>74</v>
      </c>
      <c r="BR570" t="s">
        <v>107</v>
      </c>
      <c r="BS570" t="s">
        <v>8020</v>
      </c>
      <c r="BT570" t="str">
        <f>HYPERLINK("https%3A%2F%2Fwww.webofscience.com%2Fwos%2Fwoscc%2Ffull-record%2FWOS:000179438500008","View Full Record in Web of Science")</f>
        <v>View Full Record in Web of Science</v>
      </c>
    </row>
    <row r="571" spans="1:72" x14ac:dyDescent="0.15">
      <c r="A571" t="s">
        <v>72</v>
      </c>
      <c r="B571" t="s">
        <v>8021</v>
      </c>
      <c r="C571" t="s">
        <v>74</v>
      </c>
      <c r="D571" t="s">
        <v>74</v>
      </c>
      <c r="E571" t="s">
        <v>74</v>
      </c>
      <c r="F571" t="s">
        <v>8021</v>
      </c>
      <c r="G571" t="s">
        <v>74</v>
      </c>
      <c r="H571" t="s">
        <v>74</v>
      </c>
      <c r="I571" t="s">
        <v>8022</v>
      </c>
      <c r="J571" t="s">
        <v>7981</v>
      </c>
      <c r="K571" t="s">
        <v>74</v>
      </c>
      <c r="L571" t="s">
        <v>74</v>
      </c>
      <c r="M571" t="s">
        <v>77</v>
      </c>
      <c r="N571" t="s">
        <v>153</v>
      </c>
      <c r="O571" t="s">
        <v>74</v>
      </c>
      <c r="P571" t="s">
        <v>74</v>
      </c>
      <c r="Q571" t="s">
        <v>74</v>
      </c>
      <c r="R571" t="s">
        <v>74</v>
      </c>
      <c r="S571" t="s">
        <v>74</v>
      </c>
      <c r="T571" t="s">
        <v>8023</v>
      </c>
      <c r="U571" t="s">
        <v>74</v>
      </c>
      <c r="V571" t="s">
        <v>8024</v>
      </c>
      <c r="W571" t="s">
        <v>1950</v>
      </c>
      <c r="X571" t="s">
        <v>1951</v>
      </c>
      <c r="Y571" t="s">
        <v>8025</v>
      </c>
      <c r="Z571" t="s">
        <v>74</v>
      </c>
      <c r="AA571" t="s">
        <v>74</v>
      </c>
      <c r="AB571" t="s">
        <v>74</v>
      </c>
      <c r="AC571" t="s">
        <v>74</v>
      </c>
      <c r="AD571" t="s">
        <v>74</v>
      </c>
      <c r="AE571" t="s">
        <v>74</v>
      </c>
      <c r="AF571" t="s">
        <v>74</v>
      </c>
      <c r="AG571">
        <v>19</v>
      </c>
      <c r="AH571">
        <v>29</v>
      </c>
      <c r="AI571">
        <v>32</v>
      </c>
      <c r="AJ571">
        <v>0</v>
      </c>
      <c r="AK571">
        <v>8</v>
      </c>
      <c r="AL571" t="s">
        <v>7989</v>
      </c>
      <c r="AM571" t="s">
        <v>7990</v>
      </c>
      <c r="AN571" t="s">
        <v>7991</v>
      </c>
      <c r="AO571" t="s">
        <v>7992</v>
      </c>
      <c r="AP571" t="s">
        <v>74</v>
      </c>
      <c r="AQ571" t="s">
        <v>74</v>
      </c>
      <c r="AR571" t="s">
        <v>7993</v>
      </c>
      <c r="AS571" t="s">
        <v>7994</v>
      </c>
      <c r="AT571" t="s">
        <v>74</v>
      </c>
      <c r="AU571">
        <v>2002</v>
      </c>
      <c r="AV571">
        <v>9</v>
      </c>
      <c r="AW571" t="s">
        <v>74</v>
      </c>
      <c r="AX571" t="s">
        <v>74</v>
      </c>
      <c r="AY571" t="s">
        <v>74</v>
      </c>
      <c r="AZ571" t="s">
        <v>74</v>
      </c>
      <c r="BA571" t="s">
        <v>74</v>
      </c>
      <c r="BB571">
        <v>117</v>
      </c>
      <c r="BC571">
        <v>131</v>
      </c>
      <c r="BD571" t="s">
        <v>74</v>
      </c>
      <c r="BE571" t="s">
        <v>74</v>
      </c>
      <c r="BF571" t="s">
        <v>74</v>
      </c>
      <c r="BG571" t="s">
        <v>74</v>
      </c>
      <c r="BH571" t="s">
        <v>74</v>
      </c>
      <c r="BI571">
        <v>15</v>
      </c>
      <c r="BJ571" t="s">
        <v>1275</v>
      </c>
      <c r="BK571" t="s">
        <v>170</v>
      </c>
      <c r="BL571" t="s">
        <v>1275</v>
      </c>
      <c r="BM571" t="s">
        <v>7995</v>
      </c>
      <c r="BN571" t="s">
        <v>74</v>
      </c>
      <c r="BO571" t="s">
        <v>74</v>
      </c>
      <c r="BP571" t="s">
        <v>74</v>
      </c>
      <c r="BQ571" t="s">
        <v>74</v>
      </c>
      <c r="BR571" t="s">
        <v>107</v>
      </c>
      <c r="BS571" t="s">
        <v>8026</v>
      </c>
      <c r="BT571" t="str">
        <f>HYPERLINK("https%3A%2F%2Fwww.webofscience.com%2Fwos%2Fwoscc%2Ffull-record%2FWOS:000179438500009","View Full Record in Web of Science")</f>
        <v>View Full Record in Web of Science</v>
      </c>
    </row>
    <row r="572" spans="1:72" x14ac:dyDescent="0.15">
      <c r="A572" t="s">
        <v>72</v>
      </c>
      <c r="B572" t="s">
        <v>8027</v>
      </c>
      <c r="C572" t="s">
        <v>74</v>
      </c>
      <c r="D572" t="s">
        <v>74</v>
      </c>
      <c r="E572" t="s">
        <v>74</v>
      </c>
      <c r="F572" t="s">
        <v>8027</v>
      </c>
      <c r="G572" t="s">
        <v>74</v>
      </c>
      <c r="H572" t="s">
        <v>74</v>
      </c>
      <c r="I572" t="s">
        <v>8028</v>
      </c>
      <c r="J572" t="s">
        <v>7981</v>
      </c>
      <c r="K572" t="s">
        <v>74</v>
      </c>
      <c r="L572" t="s">
        <v>74</v>
      </c>
      <c r="M572" t="s">
        <v>77</v>
      </c>
      <c r="N572" t="s">
        <v>153</v>
      </c>
      <c r="O572" t="s">
        <v>74</v>
      </c>
      <c r="P572" t="s">
        <v>74</v>
      </c>
      <c r="Q572" t="s">
        <v>74</v>
      </c>
      <c r="R572" t="s">
        <v>74</v>
      </c>
      <c r="S572" t="s">
        <v>74</v>
      </c>
      <c r="T572" t="s">
        <v>8029</v>
      </c>
      <c r="U572" t="s">
        <v>8030</v>
      </c>
      <c r="V572" t="s">
        <v>8031</v>
      </c>
      <c r="W572" t="s">
        <v>2466</v>
      </c>
      <c r="X572" t="s">
        <v>852</v>
      </c>
      <c r="Y572" t="s">
        <v>8032</v>
      </c>
      <c r="Z572" t="s">
        <v>74</v>
      </c>
      <c r="AA572" t="s">
        <v>74</v>
      </c>
      <c r="AB572" t="s">
        <v>74</v>
      </c>
      <c r="AC572" t="s">
        <v>74</v>
      </c>
      <c r="AD572" t="s">
        <v>74</v>
      </c>
      <c r="AE572" t="s">
        <v>74</v>
      </c>
      <c r="AF572" t="s">
        <v>74</v>
      </c>
      <c r="AG572">
        <v>17</v>
      </c>
      <c r="AH572">
        <v>13</v>
      </c>
      <c r="AI572">
        <v>16</v>
      </c>
      <c r="AJ572">
        <v>0</v>
      </c>
      <c r="AK572">
        <v>4</v>
      </c>
      <c r="AL572" t="s">
        <v>7989</v>
      </c>
      <c r="AM572" t="s">
        <v>7990</v>
      </c>
      <c r="AN572" t="s">
        <v>7991</v>
      </c>
      <c r="AO572" t="s">
        <v>7992</v>
      </c>
      <c r="AP572" t="s">
        <v>74</v>
      </c>
      <c r="AQ572" t="s">
        <v>74</v>
      </c>
      <c r="AR572" t="s">
        <v>7993</v>
      </c>
      <c r="AS572" t="s">
        <v>7994</v>
      </c>
      <c r="AT572" t="s">
        <v>74</v>
      </c>
      <c r="AU572">
        <v>2002</v>
      </c>
      <c r="AV572">
        <v>9</v>
      </c>
      <c r="AW572" t="s">
        <v>74</v>
      </c>
      <c r="AX572" t="s">
        <v>74</v>
      </c>
      <c r="AY572" t="s">
        <v>74</v>
      </c>
      <c r="AZ572" t="s">
        <v>74</v>
      </c>
      <c r="BA572" t="s">
        <v>74</v>
      </c>
      <c r="BB572">
        <v>133</v>
      </c>
      <c r="BC572">
        <v>143</v>
      </c>
      <c r="BD572" t="s">
        <v>74</v>
      </c>
      <c r="BE572" t="s">
        <v>74</v>
      </c>
      <c r="BF572" t="s">
        <v>74</v>
      </c>
      <c r="BG572" t="s">
        <v>74</v>
      </c>
      <c r="BH572" t="s">
        <v>74</v>
      </c>
      <c r="BI572">
        <v>11</v>
      </c>
      <c r="BJ572" t="s">
        <v>1275</v>
      </c>
      <c r="BK572" t="s">
        <v>170</v>
      </c>
      <c r="BL572" t="s">
        <v>1275</v>
      </c>
      <c r="BM572" t="s">
        <v>7995</v>
      </c>
      <c r="BN572" t="s">
        <v>74</v>
      </c>
      <c r="BO572" t="s">
        <v>74</v>
      </c>
      <c r="BP572" t="s">
        <v>74</v>
      </c>
      <c r="BQ572" t="s">
        <v>74</v>
      </c>
      <c r="BR572" t="s">
        <v>107</v>
      </c>
      <c r="BS572" t="s">
        <v>8033</v>
      </c>
      <c r="BT572" t="str">
        <f>HYPERLINK("https%3A%2F%2Fwww.webofscience.com%2Fwos%2Fwoscc%2Ffull-record%2FWOS:000179438500010","View Full Record in Web of Science")</f>
        <v>View Full Record in Web of Science</v>
      </c>
    </row>
    <row r="573" spans="1:72" x14ac:dyDescent="0.15">
      <c r="A573" t="s">
        <v>72</v>
      </c>
      <c r="B573" t="s">
        <v>8034</v>
      </c>
      <c r="C573" t="s">
        <v>74</v>
      </c>
      <c r="D573" t="s">
        <v>74</v>
      </c>
      <c r="E573" t="s">
        <v>74</v>
      </c>
      <c r="F573" t="s">
        <v>8034</v>
      </c>
      <c r="G573" t="s">
        <v>74</v>
      </c>
      <c r="H573" t="s">
        <v>74</v>
      </c>
      <c r="I573" t="s">
        <v>8035</v>
      </c>
      <c r="J573" t="s">
        <v>7981</v>
      </c>
      <c r="K573" t="s">
        <v>74</v>
      </c>
      <c r="L573" t="s">
        <v>74</v>
      </c>
      <c r="M573" t="s">
        <v>77</v>
      </c>
      <c r="N573" t="s">
        <v>153</v>
      </c>
      <c r="O573" t="s">
        <v>74</v>
      </c>
      <c r="P573" t="s">
        <v>74</v>
      </c>
      <c r="Q573" t="s">
        <v>74</v>
      </c>
      <c r="R573" t="s">
        <v>74</v>
      </c>
      <c r="S573" t="s">
        <v>74</v>
      </c>
      <c r="T573" t="s">
        <v>8036</v>
      </c>
      <c r="U573" t="s">
        <v>8037</v>
      </c>
      <c r="V573" t="s">
        <v>8038</v>
      </c>
      <c r="W573" t="s">
        <v>8039</v>
      </c>
      <c r="X573" t="s">
        <v>8040</v>
      </c>
      <c r="Y573" t="s">
        <v>8041</v>
      </c>
      <c r="Z573" t="s">
        <v>74</v>
      </c>
      <c r="AA573" t="s">
        <v>74</v>
      </c>
      <c r="AB573" t="s">
        <v>74</v>
      </c>
      <c r="AC573" t="s">
        <v>74</v>
      </c>
      <c r="AD573" t="s">
        <v>74</v>
      </c>
      <c r="AE573" t="s">
        <v>74</v>
      </c>
      <c r="AF573" t="s">
        <v>74</v>
      </c>
      <c r="AG573">
        <v>23</v>
      </c>
      <c r="AH573">
        <v>0</v>
      </c>
      <c r="AI573">
        <v>2</v>
      </c>
      <c r="AJ573">
        <v>0</v>
      </c>
      <c r="AK573">
        <v>6</v>
      </c>
      <c r="AL573" t="s">
        <v>7989</v>
      </c>
      <c r="AM573" t="s">
        <v>7990</v>
      </c>
      <c r="AN573" t="s">
        <v>7991</v>
      </c>
      <c r="AO573" t="s">
        <v>7992</v>
      </c>
      <c r="AP573" t="s">
        <v>74</v>
      </c>
      <c r="AQ573" t="s">
        <v>74</v>
      </c>
      <c r="AR573" t="s">
        <v>7993</v>
      </c>
      <c r="AS573" t="s">
        <v>7994</v>
      </c>
      <c r="AT573" t="s">
        <v>74</v>
      </c>
      <c r="AU573">
        <v>2002</v>
      </c>
      <c r="AV573">
        <v>9</v>
      </c>
      <c r="AW573" t="s">
        <v>74</v>
      </c>
      <c r="AX573" t="s">
        <v>74</v>
      </c>
      <c r="AY573" t="s">
        <v>74</v>
      </c>
      <c r="AZ573" t="s">
        <v>74</v>
      </c>
      <c r="BA573" t="s">
        <v>74</v>
      </c>
      <c r="BB573">
        <v>145</v>
      </c>
      <c r="BC573">
        <v>164</v>
      </c>
      <c r="BD573" t="s">
        <v>74</v>
      </c>
      <c r="BE573" t="s">
        <v>74</v>
      </c>
      <c r="BF573" t="s">
        <v>74</v>
      </c>
      <c r="BG573" t="s">
        <v>74</v>
      </c>
      <c r="BH573" t="s">
        <v>74</v>
      </c>
      <c r="BI573">
        <v>20</v>
      </c>
      <c r="BJ573" t="s">
        <v>1275</v>
      </c>
      <c r="BK573" t="s">
        <v>170</v>
      </c>
      <c r="BL573" t="s">
        <v>1275</v>
      </c>
      <c r="BM573" t="s">
        <v>7995</v>
      </c>
      <c r="BN573" t="s">
        <v>74</v>
      </c>
      <c r="BO573" t="s">
        <v>74</v>
      </c>
      <c r="BP573" t="s">
        <v>74</v>
      </c>
      <c r="BQ573" t="s">
        <v>74</v>
      </c>
      <c r="BR573" t="s">
        <v>107</v>
      </c>
      <c r="BS573" t="s">
        <v>8042</v>
      </c>
      <c r="BT573" t="str">
        <f>HYPERLINK("https%3A%2F%2Fwww.webofscience.com%2Fwos%2Fwoscc%2Ffull-record%2FWOS:000179438500011","View Full Record in Web of Science")</f>
        <v>View Full Record in Web of Science</v>
      </c>
    </row>
    <row r="574" spans="1:72" x14ac:dyDescent="0.15">
      <c r="A574" t="s">
        <v>72</v>
      </c>
      <c r="B574" t="s">
        <v>8043</v>
      </c>
      <c r="C574" t="s">
        <v>74</v>
      </c>
      <c r="D574" t="s">
        <v>74</v>
      </c>
      <c r="E574" t="s">
        <v>74</v>
      </c>
      <c r="F574" t="s">
        <v>8043</v>
      </c>
      <c r="G574" t="s">
        <v>74</v>
      </c>
      <c r="H574" t="s">
        <v>74</v>
      </c>
      <c r="I574" t="s">
        <v>8044</v>
      </c>
      <c r="J574" t="s">
        <v>7981</v>
      </c>
      <c r="K574" t="s">
        <v>74</v>
      </c>
      <c r="L574" t="s">
        <v>74</v>
      </c>
      <c r="M574" t="s">
        <v>77</v>
      </c>
      <c r="N574" t="s">
        <v>153</v>
      </c>
      <c r="O574" t="s">
        <v>74</v>
      </c>
      <c r="P574" t="s">
        <v>74</v>
      </c>
      <c r="Q574" t="s">
        <v>74</v>
      </c>
      <c r="R574" t="s">
        <v>74</v>
      </c>
      <c r="S574" t="s">
        <v>74</v>
      </c>
      <c r="T574" t="s">
        <v>8045</v>
      </c>
      <c r="U574" t="s">
        <v>74</v>
      </c>
      <c r="V574" t="s">
        <v>8046</v>
      </c>
      <c r="W574" t="s">
        <v>8047</v>
      </c>
      <c r="X574" t="s">
        <v>8040</v>
      </c>
      <c r="Y574" t="s">
        <v>8048</v>
      </c>
      <c r="Z574" t="s">
        <v>74</v>
      </c>
      <c r="AA574" t="s">
        <v>74</v>
      </c>
      <c r="AB574" t="s">
        <v>74</v>
      </c>
      <c r="AC574" t="s">
        <v>74</v>
      </c>
      <c r="AD574" t="s">
        <v>74</v>
      </c>
      <c r="AE574" t="s">
        <v>74</v>
      </c>
      <c r="AF574" t="s">
        <v>74</v>
      </c>
      <c r="AG574">
        <v>6</v>
      </c>
      <c r="AH574">
        <v>0</v>
      </c>
      <c r="AI574">
        <v>6</v>
      </c>
      <c r="AJ574">
        <v>0</v>
      </c>
      <c r="AK574">
        <v>0</v>
      </c>
      <c r="AL574" t="s">
        <v>7989</v>
      </c>
      <c r="AM574" t="s">
        <v>7990</v>
      </c>
      <c r="AN574" t="s">
        <v>7991</v>
      </c>
      <c r="AO574" t="s">
        <v>7992</v>
      </c>
      <c r="AP574" t="s">
        <v>74</v>
      </c>
      <c r="AQ574" t="s">
        <v>74</v>
      </c>
      <c r="AR574" t="s">
        <v>7993</v>
      </c>
      <c r="AS574" t="s">
        <v>7994</v>
      </c>
      <c r="AT574" t="s">
        <v>74</v>
      </c>
      <c r="AU574">
        <v>2002</v>
      </c>
      <c r="AV574">
        <v>9</v>
      </c>
      <c r="AW574" t="s">
        <v>74</v>
      </c>
      <c r="AX574" t="s">
        <v>74</v>
      </c>
      <c r="AY574" t="s">
        <v>74</v>
      </c>
      <c r="AZ574" t="s">
        <v>74</v>
      </c>
      <c r="BA574" t="s">
        <v>74</v>
      </c>
      <c r="BB574">
        <v>165</v>
      </c>
      <c r="BC574">
        <v>172</v>
      </c>
      <c r="BD574" t="s">
        <v>74</v>
      </c>
      <c r="BE574" t="s">
        <v>74</v>
      </c>
      <c r="BF574" t="s">
        <v>74</v>
      </c>
      <c r="BG574" t="s">
        <v>74</v>
      </c>
      <c r="BH574" t="s">
        <v>74</v>
      </c>
      <c r="BI574">
        <v>8</v>
      </c>
      <c r="BJ574" t="s">
        <v>1275</v>
      </c>
      <c r="BK574" t="s">
        <v>170</v>
      </c>
      <c r="BL574" t="s">
        <v>1275</v>
      </c>
      <c r="BM574" t="s">
        <v>7995</v>
      </c>
      <c r="BN574" t="s">
        <v>74</v>
      </c>
      <c r="BO574" t="s">
        <v>74</v>
      </c>
      <c r="BP574" t="s">
        <v>74</v>
      </c>
      <c r="BQ574" t="s">
        <v>74</v>
      </c>
      <c r="BR574" t="s">
        <v>107</v>
      </c>
      <c r="BS574" t="s">
        <v>8049</v>
      </c>
      <c r="BT574" t="str">
        <f>HYPERLINK("https%3A%2F%2Fwww.webofscience.com%2Fwos%2Fwoscc%2Ffull-record%2FWOS:000179438500012","View Full Record in Web of Science")</f>
        <v>View Full Record in Web of Science</v>
      </c>
    </row>
    <row r="575" spans="1:72" x14ac:dyDescent="0.15">
      <c r="A575" t="s">
        <v>72</v>
      </c>
      <c r="B575" t="s">
        <v>8050</v>
      </c>
      <c r="C575" t="s">
        <v>74</v>
      </c>
      <c r="D575" t="s">
        <v>74</v>
      </c>
      <c r="E575" t="s">
        <v>74</v>
      </c>
      <c r="F575" t="s">
        <v>8050</v>
      </c>
      <c r="G575" t="s">
        <v>74</v>
      </c>
      <c r="H575" t="s">
        <v>74</v>
      </c>
      <c r="I575" t="s">
        <v>8051</v>
      </c>
      <c r="J575" t="s">
        <v>7981</v>
      </c>
      <c r="K575" t="s">
        <v>74</v>
      </c>
      <c r="L575" t="s">
        <v>74</v>
      </c>
      <c r="M575" t="s">
        <v>77</v>
      </c>
      <c r="N575" t="s">
        <v>153</v>
      </c>
      <c r="O575" t="s">
        <v>74</v>
      </c>
      <c r="P575" t="s">
        <v>74</v>
      </c>
      <c r="Q575" t="s">
        <v>74</v>
      </c>
      <c r="R575" t="s">
        <v>74</v>
      </c>
      <c r="S575" t="s">
        <v>74</v>
      </c>
      <c r="T575" t="s">
        <v>8052</v>
      </c>
      <c r="U575" t="s">
        <v>8053</v>
      </c>
      <c r="V575" t="s">
        <v>8054</v>
      </c>
      <c r="W575" t="s">
        <v>8055</v>
      </c>
      <c r="X575" t="s">
        <v>74</v>
      </c>
      <c r="Y575" t="s">
        <v>8056</v>
      </c>
      <c r="Z575" t="s">
        <v>8057</v>
      </c>
      <c r="AA575" t="s">
        <v>74</v>
      </c>
      <c r="AB575" t="s">
        <v>74</v>
      </c>
      <c r="AC575" t="s">
        <v>74</v>
      </c>
      <c r="AD575" t="s">
        <v>74</v>
      </c>
      <c r="AE575" t="s">
        <v>74</v>
      </c>
      <c r="AF575" t="s">
        <v>74</v>
      </c>
      <c r="AG575">
        <v>117</v>
      </c>
      <c r="AH575">
        <v>15</v>
      </c>
      <c r="AI575">
        <v>18</v>
      </c>
      <c r="AJ575">
        <v>1</v>
      </c>
      <c r="AK575">
        <v>5</v>
      </c>
      <c r="AL575" t="s">
        <v>7989</v>
      </c>
      <c r="AM575" t="s">
        <v>7990</v>
      </c>
      <c r="AN575" t="s">
        <v>7991</v>
      </c>
      <c r="AO575" t="s">
        <v>7992</v>
      </c>
      <c r="AP575" t="s">
        <v>74</v>
      </c>
      <c r="AQ575" t="s">
        <v>74</v>
      </c>
      <c r="AR575" t="s">
        <v>7993</v>
      </c>
      <c r="AS575" t="s">
        <v>7994</v>
      </c>
      <c r="AT575" t="s">
        <v>74</v>
      </c>
      <c r="AU575">
        <v>2002</v>
      </c>
      <c r="AV575">
        <v>9</v>
      </c>
      <c r="AW575" t="s">
        <v>74</v>
      </c>
      <c r="AX575" t="s">
        <v>74</v>
      </c>
      <c r="AY575" t="s">
        <v>74</v>
      </c>
      <c r="AZ575" t="s">
        <v>74</v>
      </c>
      <c r="BA575" t="s">
        <v>74</v>
      </c>
      <c r="BB575">
        <v>175</v>
      </c>
      <c r="BC575">
        <v>212</v>
      </c>
      <c r="BD575" t="s">
        <v>74</v>
      </c>
      <c r="BE575" t="s">
        <v>74</v>
      </c>
      <c r="BF575" t="s">
        <v>74</v>
      </c>
      <c r="BG575" t="s">
        <v>74</v>
      </c>
      <c r="BH575" t="s">
        <v>74</v>
      </c>
      <c r="BI575">
        <v>38</v>
      </c>
      <c r="BJ575" t="s">
        <v>1275</v>
      </c>
      <c r="BK575" t="s">
        <v>170</v>
      </c>
      <c r="BL575" t="s">
        <v>1275</v>
      </c>
      <c r="BM575" t="s">
        <v>7995</v>
      </c>
      <c r="BN575" t="s">
        <v>74</v>
      </c>
      <c r="BO575" t="s">
        <v>74</v>
      </c>
      <c r="BP575" t="s">
        <v>74</v>
      </c>
      <c r="BQ575" t="s">
        <v>74</v>
      </c>
      <c r="BR575" t="s">
        <v>107</v>
      </c>
      <c r="BS575" t="s">
        <v>8058</v>
      </c>
      <c r="BT575" t="str">
        <f>HYPERLINK("https%3A%2F%2Fwww.webofscience.com%2Fwos%2Fwoscc%2Ffull-record%2FWOS:000179438500014","View Full Record in Web of Science")</f>
        <v>View Full Record in Web of Science</v>
      </c>
    </row>
    <row r="576" spans="1:72" x14ac:dyDescent="0.15">
      <c r="A576" t="s">
        <v>72</v>
      </c>
      <c r="B576" t="s">
        <v>8059</v>
      </c>
      <c r="C576" t="s">
        <v>74</v>
      </c>
      <c r="D576" t="s">
        <v>74</v>
      </c>
      <c r="E576" t="s">
        <v>74</v>
      </c>
      <c r="F576" t="s">
        <v>8059</v>
      </c>
      <c r="G576" t="s">
        <v>74</v>
      </c>
      <c r="H576" t="s">
        <v>74</v>
      </c>
      <c r="I576" t="s">
        <v>8060</v>
      </c>
      <c r="J576" t="s">
        <v>7981</v>
      </c>
      <c r="K576" t="s">
        <v>74</v>
      </c>
      <c r="L576" t="s">
        <v>74</v>
      </c>
      <c r="M576" t="s">
        <v>77</v>
      </c>
      <c r="N576" t="s">
        <v>153</v>
      </c>
      <c r="O576" t="s">
        <v>74</v>
      </c>
      <c r="P576" t="s">
        <v>74</v>
      </c>
      <c r="Q576" t="s">
        <v>74</v>
      </c>
      <c r="R576" t="s">
        <v>74</v>
      </c>
      <c r="S576" t="s">
        <v>74</v>
      </c>
      <c r="T576" t="s">
        <v>8061</v>
      </c>
      <c r="U576" t="s">
        <v>8062</v>
      </c>
      <c r="V576" t="s">
        <v>8063</v>
      </c>
      <c r="W576" t="s">
        <v>8064</v>
      </c>
      <c r="X576" t="s">
        <v>852</v>
      </c>
      <c r="Y576" t="s">
        <v>8065</v>
      </c>
      <c r="Z576" t="s">
        <v>8066</v>
      </c>
      <c r="AA576" t="s">
        <v>74</v>
      </c>
      <c r="AB576" t="s">
        <v>74</v>
      </c>
      <c r="AC576" t="s">
        <v>74</v>
      </c>
      <c r="AD576" t="s">
        <v>74</v>
      </c>
      <c r="AE576" t="s">
        <v>74</v>
      </c>
      <c r="AF576" t="s">
        <v>74</v>
      </c>
      <c r="AG576">
        <v>37</v>
      </c>
      <c r="AH576">
        <v>10</v>
      </c>
      <c r="AI576">
        <v>13</v>
      </c>
      <c r="AJ576">
        <v>0</v>
      </c>
      <c r="AK576">
        <v>0</v>
      </c>
      <c r="AL576" t="s">
        <v>7989</v>
      </c>
      <c r="AM576" t="s">
        <v>7990</v>
      </c>
      <c r="AN576" t="s">
        <v>7991</v>
      </c>
      <c r="AO576" t="s">
        <v>7992</v>
      </c>
      <c r="AP576" t="s">
        <v>74</v>
      </c>
      <c r="AQ576" t="s">
        <v>74</v>
      </c>
      <c r="AR576" t="s">
        <v>7993</v>
      </c>
      <c r="AS576" t="s">
        <v>7994</v>
      </c>
      <c r="AT576" t="s">
        <v>74</v>
      </c>
      <c r="AU576">
        <v>2002</v>
      </c>
      <c r="AV576">
        <v>9</v>
      </c>
      <c r="AW576" t="s">
        <v>74</v>
      </c>
      <c r="AX576" t="s">
        <v>74</v>
      </c>
      <c r="AY576" t="s">
        <v>74</v>
      </c>
      <c r="AZ576" t="s">
        <v>74</v>
      </c>
      <c r="BA576" t="s">
        <v>74</v>
      </c>
      <c r="BB576">
        <v>213</v>
      </c>
      <c r="BC576">
        <v>232</v>
      </c>
      <c r="BD576" t="s">
        <v>74</v>
      </c>
      <c r="BE576" t="s">
        <v>74</v>
      </c>
      <c r="BF576" t="s">
        <v>74</v>
      </c>
      <c r="BG576" t="s">
        <v>74</v>
      </c>
      <c r="BH576" t="s">
        <v>74</v>
      </c>
      <c r="BI576">
        <v>20</v>
      </c>
      <c r="BJ576" t="s">
        <v>1275</v>
      </c>
      <c r="BK576" t="s">
        <v>170</v>
      </c>
      <c r="BL576" t="s">
        <v>1275</v>
      </c>
      <c r="BM576" t="s">
        <v>7995</v>
      </c>
      <c r="BN576" t="s">
        <v>74</v>
      </c>
      <c r="BO576" t="s">
        <v>74</v>
      </c>
      <c r="BP576" t="s">
        <v>74</v>
      </c>
      <c r="BQ576" t="s">
        <v>74</v>
      </c>
      <c r="BR576" t="s">
        <v>107</v>
      </c>
      <c r="BS576" t="s">
        <v>8067</v>
      </c>
      <c r="BT576" t="str">
        <f>HYPERLINK("https%3A%2F%2Fwww.webofscience.com%2Fwos%2Fwoscc%2Ffull-record%2FWOS:000179438500015","View Full Record in Web of Science")</f>
        <v>View Full Record in Web of Science</v>
      </c>
    </row>
    <row r="577" spans="1:72" x14ac:dyDescent="0.15">
      <c r="A577" t="s">
        <v>72</v>
      </c>
      <c r="B577" t="s">
        <v>8068</v>
      </c>
      <c r="C577" t="s">
        <v>74</v>
      </c>
      <c r="D577" t="s">
        <v>74</v>
      </c>
      <c r="E577" t="s">
        <v>74</v>
      </c>
      <c r="F577" t="s">
        <v>8068</v>
      </c>
      <c r="G577" t="s">
        <v>74</v>
      </c>
      <c r="H577" t="s">
        <v>74</v>
      </c>
      <c r="I577" t="s">
        <v>8069</v>
      </c>
      <c r="J577" t="s">
        <v>7981</v>
      </c>
      <c r="K577" t="s">
        <v>74</v>
      </c>
      <c r="L577" t="s">
        <v>74</v>
      </c>
      <c r="M577" t="s">
        <v>77</v>
      </c>
      <c r="N577" t="s">
        <v>153</v>
      </c>
      <c r="O577" t="s">
        <v>74</v>
      </c>
      <c r="P577" t="s">
        <v>74</v>
      </c>
      <c r="Q577" t="s">
        <v>74</v>
      </c>
      <c r="R577" t="s">
        <v>74</v>
      </c>
      <c r="S577" t="s">
        <v>74</v>
      </c>
      <c r="T577" t="s">
        <v>8070</v>
      </c>
      <c r="U577" t="s">
        <v>8071</v>
      </c>
      <c r="V577" t="s">
        <v>8072</v>
      </c>
      <c r="W577" t="s">
        <v>1950</v>
      </c>
      <c r="X577" t="s">
        <v>1951</v>
      </c>
      <c r="Y577" t="s">
        <v>8025</v>
      </c>
      <c r="Z577" t="s">
        <v>74</v>
      </c>
      <c r="AA577" t="s">
        <v>74</v>
      </c>
      <c r="AB577" t="s">
        <v>74</v>
      </c>
      <c r="AC577" t="s">
        <v>74</v>
      </c>
      <c r="AD577" t="s">
        <v>74</v>
      </c>
      <c r="AE577" t="s">
        <v>74</v>
      </c>
      <c r="AF577" t="s">
        <v>74</v>
      </c>
      <c r="AG577">
        <v>52</v>
      </c>
      <c r="AH577">
        <v>32</v>
      </c>
      <c r="AI577">
        <v>35</v>
      </c>
      <c r="AJ577">
        <v>0</v>
      </c>
      <c r="AK577">
        <v>12</v>
      </c>
      <c r="AL577" t="s">
        <v>7989</v>
      </c>
      <c r="AM577" t="s">
        <v>7990</v>
      </c>
      <c r="AN577" t="s">
        <v>7991</v>
      </c>
      <c r="AO577" t="s">
        <v>7992</v>
      </c>
      <c r="AP577" t="s">
        <v>74</v>
      </c>
      <c r="AQ577" t="s">
        <v>74</v>
      </c>
      <c r="AR577" t="s">
        <v>7993</v>
      </c>
      <c r="AS577" t="s">
        <v>7994</v>
      </c>
      <c r="AT577" t="s">
        <v>74</v>
      </c>
      <c r="AU577">
        <v>2002</v>
      </c>
      <c r="AV577">
        <v>9</v>
      </c>
      <c r="AW577" t="s">
        <v>74</v>
      </c>
      <c r="AX577" t="s">
        <v>74</v>
      </c>
      <c r="AY577" t="s">
        <v>74</v>
      </c>
      <c r="AZ577" t="s">
        <v>74</v>
      </c>
      <c r="BA577" t="s">
        <v>74</v>
      </c>
      <c r="BB577">
        <v>233</v>
      </c>
      <c r="BC577">
        <v>253</v>
      </c>
      <c r="BD577" t="s">
        <v>74</v>
      </c>
      <c r="BE577" t="s">
        <v>74</v>
      </c>
      <c r="BF577" t="s">
        <v>74</v>
      </c>
      <c r="BG577" t="s">
        <v>74</v>
      </c>
      <c r="BH577" t="s">
        <v>74</v>
      </c>
      <c r="BI577">
        <v>21</v>
      </c>
      <c r="BJ577" t="s">
        <v>1275</v>
      </c>
      <c r="BK577" t="s">
        <v>170</v>
      </c>
      <c r="BL577" t="s">
        <v>1275</v>
      </c>
      <c r="BM577" t="s">
        <v>7995</v>
      </c>
      <c r="BN577" t="s">
        <v>74</v>
      </c>
      <c r="BO577" t="s">
        <v>74</v>
      </c>
      <c r="BP577" t="s">
        <v>74</v>
      </c>
      <c r="BQ577" t="s">
        <v>74</v>
      </c>
      <c r="BR577" t="s">
        <v>107</v>
      </c>
      <c r="BS577" t="s">
        <v>8073</v>
      </c>
      <c r="BT577" t="str">
        <f>HYPERLINK("https%3A%2F%2Fwww.webofscience.com%2Fwos%2Fwoscc%2Ffull-record%2FWOS:000179438500016","View Full Record in Web of Science")</f>
        <v>View Full Record in Web of Science</v>
      </c>
    </row>
    <row r="578" spans="1:72" x14ac:dyDescent="0.15">
      <c r="A578" t="s">
        <v>6989</v>
      </c>
      <c r="B578" t="s">
        <v>8074</v>
      </c>
      <c r="C578" t="s">
        <v>74</v>
      </c>
      <c r="D578" t="s">
        <v>8075</v>
      </c>
      <c r="E578" t="s">
        <v>74</v>
      </c>
      <c r="F578" t="s">
        <v>8074</v>
      </c>
      <c r="G578" t="s">
        <v>74</v>
      </c>
      <c r="H578" t="s">
        <v>74</v>
      </c>
      <c r="I578" t="s">
        <v>8076</v>
      </c>
      <c r="J578" t="s">
        <v>8077</v>
      </c>
      <c r="K578" t="s">
        <v>8078</v>
      </c>
      <c r="L578" t="s">
        <v>74</v>
      </c>
      <c r="M578" t="s">
        <v>77</v>
      </c>
      <c r="N578" t="s">
        <v>6994</v>
      </c>
      <c r="O578" t="s">
        <v>8079</v>
      </c>
      <c r="P578" t="s">
        <v>8080</v>
      </c>
      <c r="Q578" t="s">
        <v>8081</v>
      </c>
      <c r="R578" t="s">
        <v>74</v>
      </c>
      <c r="S578" t="s">
        <v>74</v>
      </c>
      <c r="T578" t="s">
        <v>74</v>
      </c>
      <c r="U578" t="s">
        <v>74</v>
      </c>
      <c r="V578" t="s">
        <v>74</v>
      </c>
      <c r="W578" t="s">
        <v>2466</v>
      </c>
      <c r="X578" t="s">
        <v>852</v>
      </c>
      <c r="Y578" t="s">
        <v>8082</v>
      </c>
      <c r="Z578" t="s">
        <v>74</v>
      </c>
      <c r="AA578" t="s">
        <v>74</v>
      </c>
      <c r="AB578" t="s">
        <v>74</v>
      </c>
      <c r="AC578" t="s">
        <v>74</v>
      </c>
      <c r="AD578" t="s">
        <v>74</v>
      </c>
      <c r="AE578" t="s">
        <v>74</v>
      </c>
      <c r="AF578" t="s">
        <v>74</v>
      </c>
      <c r="AG578">
        <v>1</v>
      </c>
      <c r="AH578">
        <v>0</v>
      </c>
      <c r="AI578">
        <v>0</v>
      </c>
      <c r="AJ578">
        <v>0</v>
      </c>
      <c r="AK578">
        <v>0</v>
      </c>
      <c r="AL578" t="s">
        <v>8083</v>
      </c>
      <c r="AM578" t="s">
        <v>2373</v>
      </c>
      <c r="AN578" t="s">
        <v>8084</v>
      </c>
      <c r="AO578" t="s">
        <v>8085</v>
      </c>
      <c r="AP578" t="s">
        <v>74</v>
      </c>
      <c r="AQ578" t="s">
        <v>8086</v>
      </c>
      <c r="AR578" t="s">
        <v>8087</v>
      </c>
      <c r="AS578" t="s">
        <v>74</v>
      </c>
      <c r="AT578" t="s">
        <v>74</v>
      </c>
      <c r="AU578">
        <v>2002</v>
      </c>
      <c r="AV578" t="s">
        <v>74</v>
      </c>
      <c r="AW578" t="s">
        <v>74</v>
      </c>
      <c r="AX578" t="s">
        <v>74</v>
      </c>
      <c r="AY578" t="s">
        <v>74</v>
      </c>
      <c r="AZ578" t="s">
        <v>74</v>
      </c>
      <c r="BA578" t="s">
        <v>74</v>
      </c>
      <c r="BB578">
        <v>157</v>
      </c>
      <c r="BC578">
        <v>159</v>
      </c>
      <c r="BD578" t="s">
        <v>74</v>
      </c>
      <c r="BE578" t="s">
        <v>74</v>
      </c>
      <c r="BF578" t="s">
        <v>74</v>
      </c>
      <c r="BG578" t="s">
        <v>74</v>
      </c>
      <c r="BH578" t="s">
        <v>74</v>
      </c>
      <c r="BI578">
        <v>3</v>
      </c>
      <c r="BJ578" t="s">
        <v>1019</v>
      </c>
      <c r="BK578" t="s">
        <v>7004</v>
      </c>
      <c r="BL578" t="s">
        <v>1020</v>
      </c>
      <c r="BM578" t="s">
        <v>8088</v>
      </c>
      <c r="BN578" t="s">
        <v>74</v>
      </c>
      <c r="BO578" t="s">
        <v>74</v>
      </c>
      <c r="BP578" t="s">
        <v>74</v>
      </c>
      <c r="BQ578" t="s">
        <v>74</v>
      </c>
      <c r="BR578" t="s">
        <v>107</v>
      </c>
      <c r="BS578" t="s">
        <v>8089</v>
      </c>
      <c r="BT578" t="str">
        <f>HYPERLINK("https%3A%2F%2Fwww.webofscience.com%2Fwos%2Fwoscc%2Ffull-record%2FWOS:000179874000028","View Full Record in Web of Science")</f>
        <v>View Full Record in Web of Science</v>
      </c>
    </row>
    <row r="579" spans="1:72" x14ac:dyDescent="0.15">
      <c r="A579" t="s">
        <v>72</v>
      </c>
      <c r="B579" t="s">
        <v>8090</v>
      </c>
      <c r="C579" t="s">
        <v>74</v>
      </c>
      <c r="D579" t="s">
        <v>74</v>
      </c>
      <c r="E579" t="s">
        <v>74</v>
      </c>
      <c r="F579" t="s">
        <v>8090</v>
      </c>
      <c r="G579" t="s">
        <v>74</v>
      </c>
      <c r="H579" t="s">
        <v>74</v>
      </c>
      <c r="I579" t="s">
        <v>8091</v>
      </c>
      <c r="J579" t="s">
        <v>6240</v>
      </c>
      <c r="K579" t="s">
        <v>74</v>
      </c>
      <c r="L579" t="s">
        <v>74</v>
      </c>
      <c r="M579" t="s">
        <v>77</v>
      </c>
      <c r="N579" t="s">
        <v>153</v>
      </c>
      <c r="O579" t="s">
        <v>74</v>
      </c>
      <c r="P579" t="s">
        <v>74</v>
      </c>
      <c r="Q579" t="s">
        <v>74</v>
      </c>
      <c r="R579" t="s">
        <v>74</v>
      </c>
      <c r="S579" t="s">
        <v>74</v>
      </c>
      <c r="T579" t="s">
        <v>74</v>
      </c>
      <c r="U579" t="s">
        <v>8092</v>
      </c>
      <c r="V579" t="s">
        <v>8093</v>
      </c>
      <c r="W579" t="s">
        <v>8094</v>
      </c>
      <c r="X579" t="s">
        <v>852</v>
      </c>
      <c r="Y579" t="s">
        <v>8095</v>
      </c>
      <c r="Z579" t="s">
        <v>74</v>
      </c>
      <c r="AA579" t="s">
        <v>8096</v>
      </c>
      <c r="AB579" t="s">
        <v>8097</v>
      </c>
      <c r="AC579" t="s">
        <v>74</v>
      </c>
      <c r="AD579" t="s">
        <v>74</v>
      </c>
      <c r="AE579" t="s">
        <v>74</v>
      </c>
      <c r="AF579" t="s">
        <v>74</v>
      </c>
      <c r="AG579">
        <v>58</v>
      </c>
      <c r="AH579">
        <v>95</v>
      </c>
      <c r="AI579">
        <v>105</v>
      </c>
      <c r="AJ579">
        <v>0</v>
      </c>
      <c r="AK579">
        <v>30</v>
      </c>
      <c r="AL579" t="s">
        <v>1809</v>
      </c>
      <c r="AM579" t="s">
        <v>1251</v>
      </c>
      <c r="AN579" t="s">
        <v>1252</v>
      </c>
      <c r="AO579" t="s">
        <v>6245</v>
      </c>
      <c r="AP579" t="s">
        <v>74</v>
      </c>
      <c r="AQ579" t="s">
        <v>74</v>
      </c>
      <c r="AR579" t="s">
        <v>6240</v>
      </c>
      <c r="AS579" t="s">
        <v>6246</v>
      </c>
      <c r="AT579" t="s">
        <v>7127</v>
      </c>
      <c r="AU579">
        <v>2002</v>
      </c>
      <c r="AV579">
        <v>52</v>
      </c>
      <c r="AW579" t="s">
        <v>98</v>
      </c>
      <c r="AX579" t="s">
        <v>74</v>
      </c>
      <c r="AY579" t="s">
        <v>74</v>
      </c>
      <c r="AZ579" t="s">
        <v>74</v>
      </c>
      <c r="BA579" t="s">
        <v>74</v>
      </c>
      <c r="BB579">
        <v>65</v>
      </c>
      <c r="BC579">
        <v>91</v>
      </c>
      <c r="BD579" t="s">
        <v>74</v>
      </c>
      <c r="BE579" t="s">
        <v>8098</v>
      </c>
      <c r="BF579" t="str">
        <f>HYPERLINK("http://dx.doi.org/10.1023/A:1013038920600","http://dx.doi.org/10.1023/A:1013038920600")</f>
        <v>http://dx.doi.org/10.1023/A:1013038920600</v>
      </c>
      <c r="BG579" t="s">
        <v>74</v>
      </c>
      <c r="BH579" t="s">
        <v>74</v>
      </c>
      <c r="BI579">
        <v>27</v>
      </c>
      <c r="BJ579" t="s">
        <v>2358</v>
      </c>
      <c r="BK579" t="s">
        <v>170</v>
      </c>
      <c r="BL579" t="s">
        <v>2359</v>
      </c>
      <c r="BM579" t="s">
        <v>8099</v>
      </c>
      <c r="BN579" t="s">
        <v>74</v>
      </c>
      <c r="BO579" t="s">
        <v>74</v>
      </c>
      <c r="BP579" t="s">
        <v>74</v>
      </c>
      <c r="BQ579" t="s">
        <v>74</v>
      </c>
      <c r="BR579" t="s">
        <v>107</v>
      </c>
      <c r="BS579" t="s">
        <v>8100</v>
      </c>
      <c r="BT579" t="str">
        <f>HYPERLINK("https%3A%2F%2Fwww.webofscience.com%2Fwos%2Fwoscc%2Ffull-record%2FWOS:000172448300005","View Full Record in Web of Science")</f>
        <v>View Full Record in Web of Science</v>
      </c>
    </row>
    <row r="580" spans="1:72" x14ac:dyDescent="0.15">
      <c r="A580" t="s">
        <v>72</v>
      </c>
      <c r="B580" t="s">
        <v>8101</v>
      </c>
      <c r="C580" t="s">
        <v>74</v>
      </c>
      <c r="D580" t="s">
        <v>74</v>
      </c>
      <c r="E580" t="s">
        <v>74</v>
      </c>
      <c r="F580" t="s">
        <v>8101</v>
      </c>
      <c r="G580" t="s">
        <v>74</v>
      </c>
      <c r="H580" t="s">
        <v>74</v>
      </c>
      <c r="I580" t="s">
        <v>8102</v>
      </c>
      <c r="J580" t="s">
        <v>8103</v>
      </c>
      <c r="K580" t="s">
        <v>74</v>
      </c>
      <c r="L580" t="s">
        <v>74</v>
      </c>
      <c r="M580" t="s">
        <v>77</v>
      </c>
      <c r="N580" t="s">
        <v>153</v>
      </c>
      <c r="O580" t="s">
        <v>74</v>
      </c>
      <c r="P580" t="s">
        <v>74</v>
      </c>
      <c r="Q580" t="s">
        <v>74</v>
      </c>
      <c r="R580" t="s">
        <v>74</v>
      </c>
      <c r="S580" t="s">
        <v>74</v>
      </c>
      <c r="T580" t="s">
        <v>74</v>
      </c>
      <c r="U580" t="s">
        <v>8104</v>
      </c>
      <c r="V580" t="s">
        <v>8105</v>
      </c>
      <c r="W580" t="s">
        <v>4825</v>
      </c>
      <c r="X580" t="s">
        <v>2368</v>
      </c>
      <c r="Y580" t="s">
        <v>8106</v>
      </c>
      <c r="Z580" t="s">
        <v>8107</v>
      </c>
      <c r="AA580" t="s">
        <v>8108</v>
      </c>
      <c r="AB580" t="s">
        <v>8109</v>
      </c>
      <c r="AC580" t="s">
        <v>74</v>
      </c>
      <c r="AD580" t="s">
        <v>74</v>
      </c>
      <c r="AE580" t="s">
        <v>74</v>
      </c>
      <c r="AF580" t="s">
        <v>74</v>
      </c>
      <c r="AG580">
        <v>52</v>
      </c>
      <c r="AH580">
        <v>6</v>
      </c>
      <c r="AI580">
        <v>12</v>
      </c>
      <c r="AJ580">
        <v>0</v>
      </c>
      <c r="AK580">
        <v>1</v>
      </c>
      <c r="AL580" t="s">
        <v>8110</v>
      </c>
      <c r="AM580" t="s">
        <v>8111</v>
      </c>
      <c r="AN580" t="s">
        <v>8112</v>
      </c>
      <c r="AO580" t="s">
        <v>8113</v>
      </c>
      <c r="AP580" t="s">
        <v>8114</v>
      </c>
      <c r="AQ580" t="s">
        <v>74</v>
      </c>
      <c r="AR580" t="s">
        <v>8103</v>
      </c>
      <c r="AS580" t="s">
        <v>8115</v>
      </c>
      <c r="AT580" t="s">
        <v>7127</v>
      </c>
      <c r="AU580">
        <v>2002</v>
      </c>
      <c r="AV580">
        <v>75</v>
      </c>
      <c r="AW580" t="s">
        <v>74</v>
      </c>
      <c r="AX580">
        <v>1</v>
      </c>
      <c r="AY580" t="s">
        <v>74</v>
      </c>
      <c r="AZ580" t="s">
        <v>74</v>
      </c>
      <c r="BA580" t="s">
        <v>74</v>
      </c>
      <c r="BB580">
        <v>61</v>
      </c>
      <c r="BC580">
        <v>76</v>
      </c>
      <c r="BD580" t="s">
        <v>74</v>
      </c>
      <c r="BE580" t="s">
        <v>8116</v>
      </c>
      <c r="BF580" t="str">
        <f>HYPERLINK("http://dx.doi.org/10.1163/156854002317373528","http://dx.doi.org/10.1163/156854002317373528")</f>
        <v>http://dx.doi.org/10.1163/156854002317373528</v>
      </c>
      <c r="BG580" t="s">
        <v>74</v>
      </c>
      <c r="BH580" t="s">
        <v>74</v>
      </c>
      <c r="BI580">
        <v>16</v>
      </c>
      <c r="BJ580" t="s">
        <v>1919</v>
      </c>
      <c r="BK580" t="s">
        <v>170</v>
      </c>
      <c r="BL580" t="s">
        <v>1919</v>
      </c>
      <c r="BM580" t="s">
        <v>8117</v>
      </c>
      <c r="BN580" t="s">
        <v>74</v>
      </c>
      <c r="BO580" t="s">
        <v>74</v>
      </c>
      <c r="BP580" t="s">
        <v>74</v>
      </c>
      <c r="BQ580" t="s">
        <v>74</v>
      </c>
      <c r="BR580" t="s">
        <v>107</v>
      </c>
      <c r="BS580" t="s">
        <v>8118</v>
      </c>
      <c r="BT580" t="str">
        <f>HYPERLINK("https%3A%2F%2Fwww.webofscience.com%2Fwos%2Fwoscc%2Ffull-record%2FWOS:000176258900005","View Full Record in Web of Science")</f>
        <v>View Full Record in Web of Science</v>
      </c>
    </row>
    <row r="581" spans="1:72" x14ac:dyDescent="0.15">
      <c r="A581" t="s">
        <v>72</v>
      </c>
      <c r="B581" t="s">
        <v>8119</v>
      </c>
      <c r="C581" t="s">
        <v>74</v>
      </c>
      <c r="D581" t="s">
        <v>74</v>
      </c>
      <c r="E581" t="s">
        <v>74</v>
      </c>
      <c r="F581" t="s">
        <v>8119</v>
      </c>
      <c r="G581" t="s">
        <v>74</v>
      </c>
      <c r="H581" t="s">
        <v>74</v>
      </c>
      <c r="I581" t="s">
        <v>8120</v>
      </c>
      <c r="J581" t="s">
        <v>8121</v>
      </c>
      <c r="K581" t="s">
        <v>74</v>
      </c>
      <c r="L581" t="s">
        <v>74</v>
      </c>
      <c r="M581" t="s">
        <v>77</v>
      </c>
      <c r="N581" t="s">
        <v>153</v>
      </c>
      <c r="O581" t="s">
        <v>74</v>
      </c>
      <c r="P581" t="s">
        <v>74</v>
      </c>
      <c r="Q581" t="s">
        <v>74</v>
      </c>
      <c r="R581" t="s">
        <v>74</v>
      </c>
      <c r="S581" t="s">
        <v>74</v>
      </c>
      <c r="T581" t="s">
        <v>8122</v>
      </c>
      <c r="U581" t="s">
        <v>8123</v>
      </c>
      <c r="V581" t="s">
        <v>8124</v>
      </c>
      <c r="W581" t="s">
        <v>8125</v>
      </c>
      <c r="X581" t="s">
        <v>5856</v>
      </c>
      <c r="Y581" t="s">
        <v>8126</v>
      </c>
      <c r="Z581" t="s">
        <v>74</v>
      </c>
      <c r="AA581" t="s">
        <v>8127</v>
      </c>
      <c r="AB581" t="s">
        <v>8128</v>
      </c>
      <c r="AC581" t="s">
        <v>74</v>
      </c>
      <c r="AD581" t="s">
        <v>74</v>
      </c>
      <c r="AE581" t="s">
        <v>74</v>
      </c>
      <c r="AF581" t="s">
        <v>74</v>
      </c>
      <c r="AG581">
        <v>22</v>
      </c>
      <c r="AH581">
        <v>24</v>
      </c>
      <c r="AI581">
        <v>31</v>
      </c>
      <c r="AJ581">
        <v>0</v>
      </c>
      <c r="AK581">
        <v>9</v>
      </c>
      <c r="AL581" t="s">
        <v>8129</v>
      </c>
      <c r="AM581" t="s">
        <v>1127</v>
      </c>
      <c r="AN581" t="s">
        <v>8130</v>
      </c>
      <c r="AO581" t="s">
        <v>8131</v>
      </c>
      <c r="AP581" t="s">
        <v>74</v>
      </c>
      <c r="AQ581" t="s">
        <v>74</v>
      </c>
      <c r="AR581" t="s">
        <v>8121</v>
      </c>
      <c r="AS581" t="s">
        <v>8132</v>
      </c>
      <c r="AT581" t="s">
        <v>7731</v>
      </c>
      <c r="AU581">
        <v>2002</v>
      </c>
      <c r="AV581">
        <v>23</v>
      </c>
      <c r="AW581">
        <v>1</v>
      </c>
      <c r="AX581" t="s">
        <v>74</v>
      </c>
      <c r="AY581" t="s">
        <v>74</v>
      </c>
      <c r="AZ581" t="s">
        <v>74</v>
      </c>
      <c r="BA581" t="s">
        <v>74</v>
      </c>
      <c r="BB581">
        <v>5</v>
      </c>
      <c r="BC581">
        <v>10</v>
      </c>
      <c r="BD581" t="s">
        <v>74</v>
      </c>
      <c r="BE581" t="s">
        <v>74</v>
      </c>
      <c r="BF581" t="s">
        <v>74</v>
      </c>
      <c r="BG581" t="s">
        <v>74</v>
      </c>
      <c r="BH581" t="s">
        <v>74</v>
      </c>
      <c r="BI581">
        <v>6</v>
      </c>
      <c r="BJ581" t="s">
        <v>1093</v>
      </c>
      <c r="BK581" t="s">
        <v>170</v>
      </c>
      <c r="BL581" t="s">
        <v>1094</v>
      </c>
      <c r="BM581" t="s">
        <v>8133</v>
      </c>
      <c r="BN581">
        <v>11912502</v>
      </c>
      <c r="BO581" t="s">
        <v>74</v>
      </c>
      <c r="BP581" t="s">
        <v>74</v>
      </c>
      <c r="BQ581" t="s">
        <v>74</v>
      </c>
      <c r="BR581" t="s">
        <v>107</v>
      </c>
      <c r="BS581" t="s">
        <v>8134</v>
      </c>
      <c r="BT581" t="str">
        <f>HYPERLINK("https%3A%2F%2Fwww.webofscience.com%2Fwos%2Fwoscc%2Ffull-record%2FWOS:000174796800002","View Full Record in Web of Science")</f>
        <v>View Full Record in Web of Science</v>
      </c>
    </row>
    <row r="582" spans="1:72" x14ac:dyDescent="0.15">
      <c r="A582" t="s">
        <v>6989</v>
      </c>
      <c r="B582" t="s">
        <v>8135</v>
      </c>
      <c r="C582" t="s">
        <v>74</v>
      </c>
      <c r="D582" t="s">
        <v>8136</v>
      </c>
      <c r="E582" t="s">
        <v>74</v>
      </c>
      <c r="F582" t="s">
        <v>8135</v>
      </c>
      <c r="G582" t="s">
        <v>74</v>
      </c>
      <c r="H582" t="s">
        <v>239</v>
      </c>
      <c r="I582" t="s">
        <v>8137</v>
      </c>
      <c r="J582" t="s">
        <v>8138</v>
      </c>
      <c r="K582" t="s">
        <v>74</v>
      </c>
      <c r="L582" t="s">
        <v>74</v>
      </c>
      <c r="M582" t="s">
        <v>77</v>
      </c>
      <c r="N582" t="s">
        <v>6994</v>
      </c>
      <c r="O582" t="s">
        <v>8139</v>
      </c>
      <c r="P582" t="s">
        <v>8140</v>
      </c>
      <c r="Q582" t="s">
        <v>8141</v>
      </c>
      <c r="R582" t="s">
        <v>74</v>
      </c>
      <c r="S582" t="s">
        <v>74</v>
      </c>
      <c r="T582" t="s">
        <v>74</v>
      </c>
      <c r="U582" t="s">
        <v>74</v>
      </c>
      <c r="V582" t="s">
        <v>8142</v>
      </c>
      <c r="W582" t="s">
        <v>8143</v>
      </c>
      <c r="X582" t="s">
        <v>8144</v>
      </c>
      <c r="Y582" t="s">
        <v>8145</v>
      </c>
      <c r="Z582" t="s">
        <v>8146</v>
      </c>
      <c r="AA582" t="s">
        <v>74</v>
      </c>
      <c r="AB582" t="s">
        <v>8147</v>
      </c>
      <c r="AC582" t="s">
        <v>74</v>
      </c>
      <c r="AD582" t="s">
        <v>74</v>
      </c>
      <c r="AE582" t="s">
        <v>74</v>
      </c>
      <c r="AF582" t="s">
        <v>74</v>
      </c>
      <c r="AG582">
        <v>11</v>
      </c>
      <c r="AH582">
        <v>1</v>
      </c>
      <c r="AI582">
        <v>1</v>
      </c>
      <c r="AJ582">
        <v>0</v>
      </c>
      <c r="AK582">
        <v>0</v>
      </c>
      <c r="AL582" t="s">
        <v>8083</v>
      </c>
      <c r="AM582" t="s">
        <v>2373</v>
      </c>
      <c r="AN582" t="s">
        <v>8084</v>
      </c>
      <c r="AO582" t="s">
        <v>74</v>
      </c>
      <c r="AP582" t="s">
        <v>74</v>
      </c>
      <c r="AQ582" t="s">
        <v>8148</v>
      </c>
      <c r="AR582" t="s">
        <v>74</v>
      </c>
      <c r="AS582" t="s">
        <v>74</v>
      </c>
      <c r="AT582" t="s">
        <v>74</v>
      </c>
      <c r="AU582">
        <v>2002</v>
      </c>
      <c r="AV582" t="s">
        <v>74</v>
      </c>
      <c r="AW582" t="s">
        <v>74</v>
      </c>
      <c r="AX582" t="s">
        <v>74</v>
      </c>
      <c r="AY582" t="s">
        <v>74</v>
      </c>
      <c r="AZ582" t="s">
        <v>74</v>
      </c>
      <c r="BA582" t="s">
        <v>74</v>
      </c>
      <c r="BB582">
        <v>531</v>
      </c>
      <c r="BC582">
        <v>541</v>
      </c>
      <c r="BD582" t="s">
        <v>74</v>
      </c>
      <c r="BE582" t="s">
        <v>74</v>
      </c>
      <c r="BF582" t="s">
        <v>74</v>
      </c>
      <c r="BG582" t="s">
        <v>74</v>
      </c>
      <c r="BH582" t="s">
        <v>74</v>
      </c>
      <c r="BI582">
        <v>11</v>
      </c>
      <c r="BJ582" t="s">
        <v>256</v>
      </c>
      <c r="BK582" t="s">
        <v>7004</v>
      </c>
      <c r="BL582" t="s">
        <v>257</v>
      </c>
      <c r="BM582" t="s">
        <v>8149</v>
      </c>
      <c r="BN582" t="s">
        <v>74</v>
      </c>
      <c r="BO582" t="s">
        <v>74</v>
      </c>
      <c r="BP582" t="s">
        <v>74</v>
      </c>
      <c r="BQ582" t="s">
        <v>74</v>
      </c>
      <c r="BR582" t="s">
        <v>107</v>
      </c>
      <c r="BS582" t="s">
        <v>8150</v>
      </c>
      <c r="BT582" t="str">
        <f>HYPERLINK("https%3A%2F%2Fwww.webofscience.com%2Fwos%2Fwoscc%2Ffull-record%2FWOS:000182527600050","View Full Record in Web of Science")</f>
        <v>View Full Record in Web of Science</v>
      </c>
    </row>
    <row r="583" spans="1:72" x14ac:dyDescent="0.15">
      <c r="A583" t="s">
        <v>72</v>
      </c>
      <c r="B583" t="s">
        <v>8151</v>
      </c>
      <c r="C583" t="s">
        <v>74</v>
      </c>
      <c r="D583" t="s">
        <v>74</v>
      </c>
      <c r="E583" t="s">
        <v>74</v>
      </c>
      <c r="F583" t="s">
        <v>8151</v>
      </c>
      <c r="G583" t="s">
        <v>74</v>
      </c>
      <c r="H583" t="s">
        <v>74</v>
      </c>
      <c r="I583" t="s">
        <v>8152</v>
      </c>
      <c r="J583" t="s">
        <v>1139</v>
      </c>
      <c r="K583" t="s">
        <v>74</v>
      </c>
      <c r="L583" t="s">
        <v>74</v>
      </c>
      <c r="M583" t="s">
        <v>77</v>
      </c>
      <c r="N583" t="s">
        <v>153</v>
      </c>
      <c r="O583" t="s">
        <v>74</v>
      </c>
      <c r="P583" t="s">
        <v>74</v>
      </c>
      <c r="Q583" t="s">
        <v>74</v>
      </c>
      <c r="R583" t="s">
        <v>74</v>
      </c>
      <c r="S583" t="s">
        <v>74</v>
      </c>
      <c r="T583" t="s">
        <v>8153</v>
      </c>
      <c r="U583" t="s">
        <v>8154</v>
      </c>
      <c r="V583" t="s">
        <v>8155</v>
      </c>
      <c r="W583" t="s">
        <v>8156</v>
      </c>
      <c r="X583" t="s">
        <v>8157</v>
      </c>
      <c r="Y583" t="s">
        <v>8158</v>
      </c>
      <c r="Z583" t="s">
        <v>74</v>
      </c>
      <c r="AA583" t="s">
        <v>8159</v>
      </c>
      <c r="AB583" t="s">
        <v>8160</v>
      </c>
      <c r="AC583" t="s">
        <v>74</v>
      </c>
      <c r="AD583" t="s">
        <v>74</v>
      </c>
      <c r="AE583" t="s">
        <v>74</v>
      </c>
      <c r="AF583" t="s">
        <v>74</v>
      </c>
      <c r="AG583">
        <v>34</v>
      </c>
      <c r="AH583">
        <v>23</v>
      </c>
      <c r="AI583">
        <v>23</v>
      </c>
      <c r="AJ583">
        <v>1</v>
      </c>
      <c r="AK583">
        <v>10</v>
      </c>
      <c r="AL583" t="s">
        <v>1013</v>
      </c>
      <c r="AM583" t="s">
        <v>895</v>
      </c>
      <c r="AN583" t="s">
        <v>1014</v>
      </c>
      <c r="AO583" t="s">
        <v>1149</v>
      </c>
      <c r="AP583" t="s">
        <v>74</v>
      </c>
      <c r="AQ583" t="s">
        <v>74</v>
      </c>
      <c r="AR583" t="s">
        <v>1151</v>
      </c>
      <c r="AS583" t="s">
        <v>1152</v>
      </c>
      <c r="AT583" t="s">
        <v>7127</v>
      </c>
      <c r="AU583">
        <v>2002</v>
      </c>
      <c r="AV583">
        <v>49</v>
      </c>
      <c r="AW583">
        <v>1</v>
      </c>
      <c r="AX583" t="s">
        <v>74</v>
      </c>
      <c r="AY583" t="s">
        <v>74</v>
      </c>
      <c r="AZ583" t="s">
        <v>74</v>
      </c>
      <c r="BA583" t="s">
        <v>74</v>
      </c>
      <c r="BB583">
        <v>41</v>
      </c>
      <c r="BC583">
        <v>52</v>
      </c>
      <c r="BD583" t="s">
        <v>74</v>
      </c>
      <c r="BE583" t="s">
        <v>8161</v>
      </c>
      <c r="BF583" t="str">
        <f>HYPERLINK("http://dx.doi.org/10.1016/S0967-0637(01)00039-5","http://dx.doi.org/10.1016/S0967-0637(01)00039-5")</f>
        <v>http://dx.doi.org/10.1016/S0967-0637(01)00039-5</v>
      </c>
      <c r="BG583" t="s">
        <v>74</v>
      </c>
      <c r="BH583" t="s">
        <v>74</v>
      </c>
      <c r="BI583">
        <v>12</v>
      </c>
      <c r="BJ583" t="s">
        <v>1155</v>
      </c>
      <c r="BK583" t="s">
        <v>170</v>
      </c>
      <c r="BL583" t="s">
        <v>1155</v>
      </c>
      <c r="BM583" t="s">
        <v>8162</v>
      </c>
      <c r="BN583" t="s">
        <v>74</v>
      </c>
      <c r="BO583" t="s">
        <v>74</v>
      </c>
      <c r="BP583" t="s">
        <v>74</v>
      </c>
      <c r="BQ583" t="s">
        <v>74</v>
      </c>
      <c r="BR583" t="s">
        <v>107</v>
      </c>
      <c r="BS583" t="s">
        <v>8163</v>
      </c>
      <c r="BT583" t="str">
        <f>HYPERLINK("https%3A%2F%2Fwww.webofscience.com%2Fwos%2Fwoscc%2Ffull-record%2FWOS:000172953400003","View Full Record in Web of Science")</f>
        <v>View Full Record in Web of Science</v>
      </c>
    </row>
    <row r="584" spans="1:72" x14ac:dyDescent="0.15">
      <c r="A584" t="s">
        <v>72</v>
      </c>
      <c r="B584" t="s">
        <v>8164</v>
      </c>
      <c r="C584" t="s">
        <v>74</v>
      </c>
      <c r="D584" t="s">
        <v>74</v>
      </c>
      <c r="E584" t="s">
        <v>74</v>
      </c>
      <c r="F584" t="s">
        <v>8164</v>
      </c>
      <c r="G584" t="s">
        <v>74</v>
      </c>
      <c r="H584" t="s">
        <v>74</v>
      </c>
      <c r="I584" t="s">
        <v>8165</v>
      </c>
      <c r="J584" t="s">
        <v>1139</v>
      </c>
      <c r="K584" t="s">
        <v>74</v>
      </c>
      <c r="L584" t="s">
        <v>74</v>
      </c>
      <c r="M584" t="s">
        <v>77</v>
      </c>
      <c r="N584" t="s">
        <v>153</v>
      </c>
      <c r="O584" t="s">
        <v>74</v>
      </c>
      <c r="P584" t="s">
        <v>74</v>
      </c>
      <c r="Q584" t="s">
        <v>74</v>
      </c>
      <c r="R584" t="s">
        <v>74</v>
      </c>
      <c r="S584" t="s">
        <v>74</v>
      </c>
      <c r="T584" t="s">
        <v>8166</v>
      </c>
      <c r="U584" t="s">
        <v>8167</v>
      </c>
      <c r="V584" t="s">
        <v>8168</v>
      </c>
      <c r="W584" t="s">
        <v>4825</v>
      </c>
      <c r="X584" t="s">
        <v>2368</v>
      </c>
      <c r="Y584" t="s">
        <v>8169</v>
      </c>
      <c r="Z584" t="s">
        <v>8170</v>
      </c>
      <c r="AA584" t="s">
        <v>8171</v>
      </c>
      <c r="AB584" t="s">
        <v>74</v>
      </c>
      <c r="AC584" t="s">
        <v>74</v>
      </c>
      <c r="AD584" t="s">
        <v>74</v>
      </c>
      <c r="AE584" t="s">
        <v>74</v>
      </c>
      <c r="AF584" t="s">
        <v>74</v>
      </c>
      <c r="AG584">
        <v>55</v>
      </c>
      <c r="AH584">
        <v>92</v>
      </c>
      <c r="AI584">
        <v>102</v>
      </c>
      <c r="AJ584">
        <v>0</v>
      </c>
      <c r="AK584">
        <v>14</v>
      </c>
      <c r="AL584" t="s">
        <v>1013</v>
      </c>
      <c r="AM584" t="s">
        <v>895</v>
      </c>
      <c r="AN584" t="s">
        <v>1014</v>
      </c>
      <c r="AO584" t="s">
        <v>1149</v>
      </c>
      <c r="AP584" t="s">
        <v>1150</v>
      </c>
      <c r="AQ584" t="s">
        <v>74</v>
      </c>
      <c r="AR584" t="s">
        <v>1151</v>
      </c>
      <c r="AS584" t="s">
        <v>1152</v>
      </c>
      <c r="AT584" t="s">
        <v>7127</v>
      </c>
      <c r="AU584">
        <v>2002</v>
      </c>
      <c r="AV584">
        <v>49</v>
      </c>
      <c r="AW584">
        <v>1</v>
      </c>
      <c r="AX584" t="s">
        <v>74</v>
      </c>
      <c r="AY584" t="s">
        <v>74</v>
      </c>
      <c r="AZ584" t="s">
        <v>74</v>
      </c>
      <c r="BA584" t="s">
        <v>74</v>
      </c>
      <c r="BB584">
        <v>101</v>
      </c>
      <c r="BC584">
        <v>120</v>
      </c>
      <c r="BD584" t="s">
        <v>74</v>
      </c>
      <c r="BE584" t="s">
        <v>8172</v>
      </c>
      <c r="BF584" t="str">
        <f>HYPERLINK("http://dx.doi.org/10.1016/S0967-0637(01)00045-0","http://dx.doi.org/10.1016/S0967-0637(01)00045-0")</f>
        <v>http://dx.doi.org/10.1016/S0967-0637(01)00045-0</v>
      </c>
      <c r="BG584" t="s">
        <v>74</v>
      </c>
      <c r="BH584" t="s">
        <v>74</v>
      </c>
      <c r="BI584">
        <v>20</v>
      </c>
      <c r="BJ584" t="s">
        <v>1155</v>
      </c>
      <c r="BK584" t="s">
        <v>170</v>
      </c>
      <c r="BL584" t="s">
        <v>1155</v>
      </c>
      <c r="BM584" t="s">
        <v>8162</v>
      </c>
      <c r="BN584" t="s">
        <v>74</v>
      </c>
      <c r="BO584" t="s">
        <v>106</v>
      </c>
      <c r="BP584" t="s">
        <v>74</v>
      </c>
      <c r="BQ584" t="s">
        <v>74</v>
      </c>
      <c r="BR584" t="s">
        <v>107</v>
      </c>
      <c r="BS584" t="s">
        <v>8173</v>
      </c>
      <c r="BT584" t="str">
        <f>HYPERLINK("https%3A%2F%2Fwww.webofscience.com%2Fwos%2Fwoscc%2Ffull-record%2FWOS:000172953400007","View Full Record in Web of Science")</f>
        <v>View Full Record in Web of Science</v>
      </c>
    </row>
    <row r="585" spans="1:72" x14ac:dyDescent="0.15">
      <c r="A585" t="s">
        <v>72</v>
      </c>
      <c r="B585" t="s">
        <v>8174</v>
      </c>
      <c r="C585" t="s">
        <v>74</v>
      </c>
      <c r="D585" t="s">
        <v>74</v>
      </c>
      <c r="E585" t="s">
        <v>74</v>
      </c>
      <c r="F585" t="s">
        <v>8174</v>
      </c>
      <c r="G585" t="s">
        <v>74</v>
      </c>
      <c r="H585" t="s">
        <v>74</v>
      </c>
      <c r="I585" t="s">
        <v>8175</v>
      </c>
      <c r="J585" t="s">
        <v>8176</v>
      </c>
      <c r="K585" t="s">
        <v>74</v>
      </c>
      <c r="L585" t="s">
        <v>74</v>
      </c>
      <c r="M585" t="s">
        <v>77</v>
      </c>
      <c r="N585" t="s">
        <v>153</v>
      </c>
      <c r="O585" t="s">
        <v>74</v>
      </c>
      <c r="P585" t="s">
        <v>74</v>
      </c>
      <c r="Q585" t="s">
        <v>74</v>
      </c>
      <c r="R585" t="s">
        <v>74</v>
      </c>
      <c r="S585" t="s">
        <v>74</v>
      </c>
      <c r="T585" t="s">
        <v>74</v>
      </c>
      <c r="U585" t="s">
        <v>8177</v>
      </c>
      <c r="V585" t="s">
        <v>8178</v>
      </c>
      <c r="W585" t="s">
        <v>8179</v>
      </c>
      <c r="X585" t="s">
        <v>8180</v>
      </c>
      <c r="Y585" t="s">
        <v>74</v>
      </c>
      <c r="Z585" t="s">
        <v>8181</v>
      </c>
      <c r="AA585" t="s">
        <v>8182</v>
      </c>
      <c r="AB585" t="s">
        <v>8183</v>
      </c>
      <c r="AC585" t="s">
        <v>74</v>
      </c>
      <c r="AD585" t="s">
        <v>74</v>
      </c>
      <c r="AE585" t="s">
        <v>74</v>
      </c>
      <c r="AF585" t="s">
        <v>74</v>
      </c>
      <c r="AG585">
        <v>47</v>
      </c>
      <c r="AH585">
        <v>39</v>
      </c>
      <c r="AI585">
        <v>40</v>
      </c>
      <c r="AJ585">
        <v>0</v>
      </c>
      <c r="AK585">
        <v>8</v>
      </c>
      <c r="AL585" t="s">
        <v>1013</v>
      </c>
      <c r="AM585" t="s">
        <v>895</v>
      </c>
      <c r="AN585" t="s">
        <v>1014</v>
      </c>
      <c r="AO585" t="s">
        <v>8184</v>
      </c>
      <c r="AP585" t="s">
        <v>8185</v>
      </c>
      <c r="AQ585" t="s">
        <v>74</v>
      </c>
      <c r="AR585" t="s">
        <v>8186</v>
      </c>
      <c r="AS585" t="s">
        <v>8187</v>
      </c>
      <c r="AT585" t="s">
        <v>74</v>
      </c>
      <c r="AU585">
        <v>2002</v>
      </c>
      <c r="AV585">
        <v>49</v>
      </c>
      <c r="AW585" t="s">
        <v>8188</v>
      </c>
      <c r="AX585" t="s">
        <v>74</v>
      </c>
      <c r="AY585" t="s">
        <v>74</v>
      </c>
      <c r="AZ585" t="s">
        <v>74</v>
      </c>
      <c r="BA585" t="s">
        <v>74</v>
      </c>
      <c r="BB585">
        <v>567</v>
      </c>
      <c r="BC585">
        <v>583</v>
      </c>
      <c r="BD585" t="s">
        <v>74</v>
      </c>
      <c r="BE585" t="s">
        <v>8189</v>
      </c>
      <c r="BF585" t="str">
        <f>HYPERLINK("http://dx.doi.org/10.1016/S0967-0645(01)00112-6","http://dx.doi.org/10.1016/S0967-0645(01)00112-6")</f>
        <v>http://dx.doi.org/10.1016/S0967-0645(01)00112-6</v>
      </c>
      <c r="BG585" t="s">
        <v>74</v>
      </c>
      <c r="BH585" t="s">
        <v>74</v>
      </c>
      <c r="BI585">
        <v>17</v>
      </c>
      <c r="BJ585" t="s">
        <v>1155</v>
      </c>
      <c r="BK585" t="s">
        <v>170</v>
      </c>
      <c r="BL585" t="s">
        <v>1155</v>
      </c>
      <c r="BM585" t="s">
        <v>8190</v>
      </c>
      <c r="BN585" t="s">
        <v>74</v>
      </c>
      <c r="BO585" t="s">
        <v>74</v>
      </c>
      <c r="BP585" t="s">
        <v>74</v>
      </c>
      <c r="BQ585" t="s">
        <v>74</v>
      </c>
      <c r="BR585" t="s">
        <v>107</v>
      </c>
      <c r="BS585" t="s">
        <v>8191</v>
      </c>
      <c r="BT585" t="str">
        <f>HYPERLINK("https%3A%2F%2Fwww.webofscience.com%2Fwos%2Fwoscc%2Ffull-record%2FWOS:000173057900001","View Full Record in Web of Science")</f>
        <v>View Full Record in Web of Science</v>
      </c>
    </row>
    <row r="586" spans="1:72" x14ac:dyDescent="0.15">
      <c r="A586" t="s">
        <v>72</v>
      </c>
      <c r="B586" t="s">
        <v>8192</v>
      </c>
      <c r="C586" t="s">
        <v>74</v>
      </c>
      <c r="D586" t="s">
        <v>74</v>
      </c>
      <c r="E586" t="s">
        <v>74</v>
      </c>
      <c r="F586" t="s">
        <v>8192</v>
      </c>
      <c r="G586" t="s">
        <v>74</v>
      </c>
      <c r="H586" t="s">
        <v>74</v>
      </c>
      <c r="I586" t="s">
        <v>8193</v>
      </c>
      <c r="J586" t="s">
        <v>8176</v>
      </c>
      <c r="K586" t="s">
        <v>74</v>
      </c>
      <c r="L586" t="s">
        <v>74</v>
      </c>
      <c r="M586" t="s">
        <v>77</v>
      </c>
      <c r="N586" t="s">
        <v>153</v>
      </c>
      <c r="O586" t="s">
        <v>74</v>
      </c>
      <c r="P586" t="s">
        <v>74</v>
      </c>
      <c r="Q586" t="s">
        <v>74</v>
      </c>
      <c r="R586" t="s">
        <v>74</v>
      </c>
      <c r="S586" t="s">
        <v>74</v>
      </c>
      <c r="T586" t="s">
        <v>74</v>
      </c>
      <c r="U586" t="s">
        <v>8194</v>
      </c>
      <c r="V586" t="s">
        <v>8195</v>
      </c>
      <c r="W586" t="s">
        <v>8196</v>
      </c>
      <c r="X586" t="s">
        <v>8197</v>
      </c>
      <c r="Y586" t="s">
        <v>8198</v>
      </c>
      <c r="Z586" t="s">
        <v>74</v>
      </c>
      <c r="AA586" t="s">
        <v>8199</v>
      </c>
      <c r="AB586" t="s">
        <v>8200</v>
      </c>
      <c r="AC586" t="s">
        <v>74</v>
      </c>
      <c r="AD586" t="s">
        <v>74</v>
      </c>
      <c r="AE586" t="s">
        <v>74</v>
      </c>
      <c r="AF586" t="s">
        <v>74</v>
      </c>
      <c r="AG586">
        <v>17</v>
      </c>
      <c r="AH586">
        <v>36</v>
      </c>
      <c r="AI586">
        <v>38</v>
      </c>
      <c r="AJ586">
        <v>0</v>
      </c>
      <c r="AK586">
        <v>5</v>
      </c>
      <c r="AL586" t="s">
        <v>1013</v>
      </c>
      <c r="AM586" t="s">
        <v>895</v>
      </c>
      <c r="AN586" t="s">
        <v>1014</v>
      </c>
      <c r="AO586" t="s">
        <v>8184</v>
      </c>
      <c r="AP586" t="s">
        <v>74</v>
      </c>
      <c r="AQ586" t="s">
        <v>74</v>
      </c>
      <c r="AR586" t="s">
        <v>8186</v>
      </c>
      <c r="AS586" t="s">
        <v>8187</v>
      </c>
      <c r="AT586" t="s">
        <v>74</v>
      </c>
      <c r="AU586">
        <v>2002</v>
      </c>
      <c r="AV586">
        <v>49</v>
      </c>
      <c r="AW586" t="s">
        <v>8188</v>
      </c>
      <c r="AX586" t="s">
        <v>74</v>
      </c>
      <c r="AY586" t="s">
        <v>74</v>
      </c>
      <c r="AZ586" t="s">
        <v>74</v>
      </c>
      <c r="BA586" t="s">
        <v>74</v>
      </c>
      <c r="BB586">
        <v>603</v>
      </c>
      <c r="BC586">
        <v>621</v>
      </c>
      <c r="BD586" t="s">
        <v>74</v>
      </c>
      <c r="BE586" t="s">
        <v>8201</v>
      </c>
      <c r="BF586" t="str">
        <f>HYPERLINK("http://dx.doi.org/10.1016/S0967-0645(01)00114-X","http://dx.doi.org/10.1016/S0967-0645(01)00114-X")</f>
        <v>http://dx.doi.org/10.1016/S0967-0645(01)00114-X</v>
      </c>
      <c r="BG586" t="s">
        <v>74</v>
      </c>
      <c r="BH586" t="s">
        <v>74</v>
      </c>
      <c r="BI586">
        <v>19</v>
      </c>
      <c r="BJ586" t="s">
        <v>1155</v>
      </c>
      <c r="BK586" t="s">
        <v>170</v>
      </c>
      <c r="BL586" t="s">
        <v>1155</v>
      </c>
      <c r="BM586" t="s">
        <v>8190</v>
      </c>
      <c r="BN586" t="s">
        <v>74</v>
      </c>
      <c r="BO586" t="s">
        <v>74</v>
      </c>
      <c r="BP586" t="s">
        <v>74</v>
      </c>
      <c r="BQ586" t="s">
        <v>74</v>
      </c>
      <c r="BR586" t="s">
        <v>107</v>
      </c>
      <c r="BS586" t="s">
        <v>8202</v>
      </c>
      <c r="BT586" t="str">
        <f>HYPERLINK("https%3A%2F%2Fwww.webofscience.com%2Fwos%2Fwoscc%2Ffull-record%2FWOS:000173057900003","View Full Record in Web of Science")</f>
        <v>View Full Record in Web of Science</v>
      </c>
    </row>
    <row r="587" spans="1:72" x14ac:dyDescent="0.15">
      <c r="A587" t="s">
        <v>72</v>
      </c>
      <c r="B587" t="s">
        <v>8203</v>
      </c>
      <c r="C587" t="s">
        <v>74</v>
      </c>
      <c r="D587" t="s">
        <v>74</v>
      </c>
      <c r="E587" t="s">
        <v>74</v>
      </c>
      <c r="F587" t="s">
        <v>8203</v>
      </c>
      <c r="G587" t="s">
        <v>74</v>
      </c>
      <c r="H587" t="s">
        <v>74</v>
      </c>
      <c r="I587" t="s">
        <v>8204</v>
      </c>
      <c r="J587" t="s">
        <v>8176</v>
      </c>
      <c r="K587" t="s">
        <v>74</v>
      </c>
      <c r="L587" t="s">
        <v>74</v>
      </c>
      <c r="M587" t="s">
        <v>77</v>
      </c>
      <c r="N587" t="s">
        <v>153</v>
      </c>
      <c r="O587" t="s">
        <v>74</v>
      </c>
      <c r="P587" t="s">
        <v>74</v>
      </c>
      <c r="Q587" t="s">
        <v>74</v>
      </c>
      <c r="R587" t="s">
        <v>74</v>
      </c>
      <c r="S587" t="s">
        <v>74</v>
      </c>
      <c r="T587" t="s">
        <v>74</v>
      </c>
      <c r="U587" t="s">
        <v>8205</v>
      </c>
      <c r="V587" t="s">
        <v>8206</v>
      </c>
      <c r="W587" t="s">
        <v>8207</v>
      </c>
      <c r="X587" t="s">
        <v>8208</v>
      </c>
      <c r="Y587" t="s">
        <v>8209</v>
      </c>
      <c r="Z587" t="s">
        <v>74</v>
      </c>
      <c r="AA587" t="s">
        <v>8210</v>
      </c>
      <c r="AB587" t="s">
        <v>8211</v>
      </c>
      <c r="AC587" t="s">
        <v>74</v>
      </c>
      <c r="AD587" t="s">
        <v>74</v>
      </c>
      <c r="AE587" t="s">
        <v>74</v>
      </c>
      <c r="AF587" t="s">
        <v>74</v>
      </c>
      <c r="AG587">
        <v>63</v>
      </c>
      <c r="AH587">
        <v>39</v>
      </c>
      <c r="AI587">
        <v>41</v>
      </c>
      <c r="AJ587">
        <v>0</v>
      </c>
      <c r="AK587">
        <v>5</v>
      </c>
      <c r="AL587" t="s">
        <v>1013</v>
      </c>
      <c r="AM587" t="s">
        <v>895</v>
      </c>
      <c r="AN587" t="s">
        <v>1014</v>
      </c>
      <c r="AO587" t="s">
        <v>8184</v>
      </c>
      <c r="AP587" t="s">
        <v>74</v>
      </c>
      <c r="AQ587" t="s">
        <v>74</v>
      </c>
      <c r="AR587" t="s">
        <v>8186</v>
      </c>
      <c r="AS587" t="s">
        <v>8187</v>
      </c>
      <c r="AT587" t="s">
        <v>74</v>
      </c>
      <c r="AU587">
        <v>2002</v>
      </c>
      <c r="AV587">
        <v>49</v>
      </c>
      <c r="AW587" t="s">
        <v>8188</v>
      </c>
      <c r="AX587" t="s">
        <v>74</v>
      </c>
      <c r="AY587" t="s">
        <v>74</v>
      </c>
      <c r="AZ587" t="s">
        <v>74</v>
      </c>
      <c r="BA587" t="s">
        <v>74</v>
      </c>
      <c r="BB587">
        <v>623</v>
      </c>
      <c r="BC587">
        <v>641</v>
      </c>
      <c r="BD587" t="s">
        <v>74</v>
      </c>
      <c r="BE587" t="s">
        <v>8212</v>
      </c>
      <c r="BF587" t="str">
        <f>HYPERLINK("http://dx.doi.org/10.1016/S0967-0645(01)00115-1","http://dx.doi.org/10.1016/S0967-0645(01)00115-1")</f>
        <v>http://dx.doi.org/10.1016/S0967-0645(01)00115-1</v>
      </c>
      <c r="BG587" t="s">
        <v>74</v>
      </c>
      <c r="BH587" t="s">
        <v>74</v>
      </c>
      <c r="BI587">
        <v>19</v>
      </c>
      <c r="BJ587" t="s">
        <v>1155</v>
      </c>
      <c r="BK587" t="s">
        <v>170</v>
      </c>
      <c r="BL587" t="s">
        <v>1155</v>
      </c>
      <c r="BM587" t="s">
        <v>8190</v>
      </c>
      <c r="BN587" t="s">
        <v>74</v>
      </c>
      <c r="BO587" t="s">
        <v>74</v>
      </c>
      <c r="BP587" t="s">
        <v>74</v>
      </c>
      <c r="BQ587" t="s">
        <v>74</v>
      </c>
      <c r="BR587" t="s">
        <v>107</v>
      </c>
      <c r="BS587" t="s">
        <v>8213</v>
      </c>
      <c r="BT587" t="str">
        <f>HYPERLINK("https%3A%2F%2Fwww.webofscience.com%2Fwos%2Fwoscc%2Ffull-record%2FWOS:000173057900004","View Full Record in Web of Science")</f>
        <v>View Full Record in Web of Science</v>
      </c>
    </row>
    <row r="588" spans="1:72" x14ac:dyDescent="0.15">
      <c r="A588" t="s">
        <v>72</v>
      </c>
      <c r="B588" t="s">
        <v>8214</v>
      </c>
      <c r="C588" t="s">
        <v>74</v>
      </c>
      <c r="D588" t="s">
        <v>74</v>
      </c>
      <c r="E588" t="s">
        <v>74</v>
      </c>
      <c r="F588" t="s">
        <v>8214</v>
      </c>
      <c r="G588" t="s">
        <v>74</v>
      </c>
      <c r="H588" t="s">
        <v>74</v>
      </c>
      <c r="I588" t="s">
        <v>8215</v>
      </c>
      <c r="J588" t="s">
        <v>8176</v>
      </c>
      <c r="K588" t="s">
        <v>74</v>
      </c>
      <c r="L588" t="s">
        <v>74</v>
      </c>
      <c r="M588" t="s">
        <v>77</v>
      </c>
      <c r="N588" t="s">
        <v>153</v>
      </c>
      <c r="O588" t="s">
        <v>74</v>
      </c>
      <c r="P588" t="s">
        <v>74</v>
      </c>
      <c r="Q588" t="s">
        <v>74</v>
      </c>
      <c r="R588" t="s">
        <v>74</v>
      </c>
      <c r="S588" t="s">
        <v>74</v>
      </c>
      <c r="T588" t="s">
        <v>74</v>
      </c>
      <c r="U588" t="s">
        <v>8216</v>
      </c>
      <c r="V588" t="s">
        <v>8217</v>
      </c>
      <c r="W588" t="s">
        <v>8218</v>
      </c>
      <c r="X588" t="s">
        <v>8219</v>
      </c>
      <c r="Y588" t="s">
        <v>8220</v>
      </c>
      <c r="Z588" t="s">
        <v>74</v>
      </c>
      <c r="AA588" t="s">
        <v>8221</v>
      </c>
      <c r="AB588" t="s">
        <v>8222</v>
      </c>
      <c r="AC588" t="s">
        <v>74</v>
      </c>
      <c r="AD588" t="s">
        <v>74</v>
      </c>
      <c r="AE588" t="s">
        <v>74</v>
      </c>
      <c r="AF588" t="s">
        <v>74</v>
      </c>
      <c r="AG588">
        <v>66</v>
      </c>
      <c r="AH588">
        <v>37</v>
      </c>
      <c r="AI588">
        <v>39</v>
      </c>
      <c r="AJ588">
        <v>1</v>
      </c>
      <c r="AK588">
        <v>9</v>
      </c>
      <c r="AL588" t="s">
        <v>1013</v>
      </c>
      <c r="AM588" t="s">
        <v>895</v>
      </c>
      <c r="AN588" t="s">
        <v>1014</v>
      </c>
      <c r="AO588" t="s">
        <v>8184</v>
      </c>
      <c r="AP588" t="s">
        <v>74</v>
      </c>
      <c r="AQ588" t="s">
        <v>74</v>
      </c>
      <c r="AR588" t="s">
        <v>8186</v>
      </c>
      <c r="AS588" t="s">
        <v>8187</v>
      </c>
      <c r="AT588" t="s">
        <v>74</v>
      </c>
      <c r="AU588">
        <v>2002</v>
      </c>
      <c r="AV588">
        <v>49</v>
      </c>
      <c r="AW588" t="s">
        <v>8188</v>
      </c>
      <c r="AX588" t="s">
        <v>74</v>
      </c>
      <c r="AY588" t="s">
        <v>74</v>
      </c>
      <c r="AZ588" t="s">
        <v>74</v>
      </c>
      <c r="BA588" t="s">
        <v>74</v>
      </c>
      <c r="BB588">
        <v>643</v>
      </c>
      <c r="BC588">
        <v>662</v>
      </c>
      <c r="BD588" t="s">
        <v>74</v>
      </c>
      <c r="BE588" t="s">
        <v>8223</v>
      </c>
      <c r="BF588" t="str">
        <f>HYPERLINK("http://dx.doi.org/10.1016/S0967-0645(01)00116-3","http://dx.doi.org/10.1016/S0967-0645(01)00116-3")</f>
        <v>http://dx.doi.org/10.1016/S0967-0645(01)00116-3</v>
      </c>
      <c r="BG588" t="s">
        <v>74</v>
      </c>
      <c r="BH588" t="s">
        <v>74</v>
      </c>
      <c r="BI588">
        <v>20</v>
      </c>
      <c r="BJ588" t="s">
        <v>1155</v>
      </c>
      <c r="BK588" t="s">
        <v>170</v>
      </c>
      <c r="BL588" t="s">
        <v>1155</v>
      </c>
      <c r="BM588" t="s">
        <v>8190</v>
      </c>
      <c r="BN588" t="s">
        <v>74</v>
      </c>
      <c r="BO588" t="s">
        <v>665</v>
      </c>
      <c r="BP588" t="s">
        <v>74</v>
      </c>
      <c r="BQ588" t="s">
        <v>74</v>
      </c>
      <c r="BR588" t="s">
        <v>107</v>
      </c>
      <c r="BS588" t="s">
        <v>8224</v>
      </c>
      <c r="BT588" t="str">
        <f>HYPERLINK("https%3A%2F%2Fwww.webofscience.com%2Fwos%2Fwoscc%2Ffull-record%2FWOS:000173057900005","View Full Record in Web of Science")</f>
        <v>View Full Record in Web of Science</v>
      </c>
    </row>
    <row r="589" spans="1:72" x14ac:dyDescent="0.15">
      <c r="A589" t="s">
        <v>72</v>
      </c>
      <c r="B589" t="s">
        <v>8225</v>
      </c>
      <c r="C589" t="s">
        <v>74</v>
      </c>
      <c r="D589" t="s">
        <v>74</v>
      </c>
      <c r="E589" t="s">
        <v>74</v>
      </c>
      <c r="F589" t="s">
        <v>8225</v>
      </c>
      <c r="G589" t="s">
        <v>74</v>
      </c>
      <c r="H589" t="s">
        <v>74</v>
      </c>
      <c r="I589" t="s">
        <v>8226</v>
      </c>
      <c r="J589" t="s">
        <v>8176</v>
      </c>
      <c r="K589" t="s">
        <v>74</v>
      </c>
      <c r="L589" t="s">
        <v>74</v>
      </c>
      <c r="M589" t="s">
        <v>77</v>
      </c>
      <c r="N589" t="s">
        <v>153</v>
      </c>
      <c r="O589" t="s">
        <v>74</v>
      </c>
      <c r="P589" t="s">
        <v>74</v>
      </c>
      <c r="Q589" t="s">
        <v>74</v>
      </c>
      <c r="R589" t="s">
        <v>74</v>
      </c>
      <c r="S589" t="s">
        <v>74</v>
      </c>
      <c r="T589" t="s">
        <v>74</v>
      </c>
      <c r="U589" t="s">
        <v>8227</v>
      </c>
      <c r="V589" t="s">
        <v>8228</v>
      </c>
      <c r="W589" t="s">
        <v>8229</v>
      </c>
      <c r="X589" t="s">
        <v>8230</v>
      </c>
      <c r="Y589" t="s">
        <v>8231</v>
      </c>
      <c r="Z589" t="s">
        <v>74</v>
      </c>
      <c r="AA589" t="s">
        <v>8232</v>
      </c>
      <c r="AB589" t="s">
        <v>8233</v>
      </c>
      <c r="AC589" t="s">
        <v>74</v>
      </c>
      <c r="AD589" t="s">
        <v>74</v>
      </c>
      <c r="AE589" t="s">
        <v>74</v>
      </c>
      <c r="AF589" t="s">
        <v>74</v>
      </c>
      <c r="AG589">
        <v>45</v>
      </c>
      <c r="AH589">
        <v>28</v>
      </c>
      <c r="AI589">
        <v>31</v>
      </c>
      <c r="AJ589">
        <v>1</v>
      </c>
      <c r="AK589">
        <v>9</v>
      </c>
      <c r="AL589" t="s">
        <v>1013</v>
      </c>
      <c r="AM589" t="s">
        <v>895</v>
      </c>
      <c r="AN589" t="s">
        <v>1014</v>
      </c>
      <c r="AO589" t="s">
        <v>8184</v>
      </c>
      <c r="AP589" t="s">
        <v>74</v>
      </c>
      <c r="AQ589" t="s">
        <v>74</v>
      </c>
      <c r="AR589" t="s">
        <v>8186</v>
      </c>
      <c r="AS589" t="s">
        <v>8187</v>
      </c>
      <c r="AT589" t="s">
        <v>74</v>
      </c>
      <c r="AU589">
        <v>2002</v>
      </c>
      <c r="AV589">
        <v>49</v>
      </c>
      <c r="AW589" t="s">
        <v>8188</v>
      </c>
      <c r="AX589" t="s">
        <v>74</v>
      </c>
      <c r="AY589" t="s">
        <v>74</v>
      </c>
      <c r="AZ589" t="s">
        <v>74</v>
      </c>
      <c r="BA589" t="s">
        <v>74</v>
      </c>
      <c r="BB589">
        <v>675</v>
      </c>
      <c r="BC589">
        <v>691</v>
      </c>
      <c r="BD589" t="s">
        <v>74</v>
      </c>
      <c r="BE589" t="s">
        <v>8234</v>
      </c>
      <c r="BF589" t="str">
        <f>HYPERLINK("http://dx.doi.org/10.1016/S0967-0645(01)00118-7","http://dx.doi.org/10.1016/S0967-0645(01)00118-7")</f>
        <v>http://dx.doi.org/10.1016/S0967-0645(01)00118-7</v>
      </c>
      <c r="BG589" t="s">
        <v>74</v>
      </c>
      <c r="BH589" t="s">
        <v>74</v>
      </c>
      <c r="BI589">
        <v>17</v>
      </c>
      <c r="BJ589" t="s">
        <v>1155</v>
      </c>
      <c r="BK589" t="s">
        <v>170</v>
      </c>
      <c r="BL589" t="s">
        <v>1155</v>
      </c>
      <c r="BM589" t="s">
        <v>8190</v>
      </c>
      <c r="BN589" t="s">
        <v>74</v>
      </c>
      <c r="BO589" t="s">
        <v>74</v>
      </c>
      <c r="BP589" t="s">
        <v>74</v>
      </c>
      <c r="BQ589" t="s">
        <v>74</v>
      </c>
      <c r="BR589" t="s">
        <v>107</v>
      </c>
      <c r="BS589" t="s">
        <v>8235</v>
      </c>
      <c r="BT589" t="str">
        <f>HYPERLINK("https%3A%2F%2Fwww.webofscience.com%2Fwos%2Fwoscc%2Ffull-record%2FWOS:000173057900007","View Full Record in Web of Science")</f>
        <v>View Full Record in Web of Science</v>
      </c>
    </row>
    <row r="590" spans="1:72" x14ac:dyDescent="0.15">
      <c r="A590" t="s">
        <v>72</v>
      </c>
      <c r="B590" t="s">
        <v>8236</v>
      </c>
      <c r="C590" t="s">
        <v>74</v>
      </c>
      <c r="D590" t="s">
        <v>74</v>
      </c>
      <c r="E590" t="s">
        <v>74</v>
      </c>
      <c r="F590" t="s">
        <v>8236</v>
      </c>
      <c r="G590" t="s">
        <v>74</v>
      </c>
      <c r="H590" t="s">
        <v>74</v>
      </c>
      <c r="I590" t="s">
        <v>8237</v>
      </c>
      <c r="J590" t="s">
        <v>8176</v>
      </c>
      <c r="K590" t="s">
        <v>74</v>
      </c>
      <c r="L590" t="s">
        <v>74</v>
      </c>
      <c r="M590" t="s">
        <v>77</v>
      </c>
      <c r="N590" t="s">
        <v>153</v>
      </c>
      <c r="O590" t="s">
        <v>74</v>
      </c>
      <c r="P590" t="s">
        <v>74</v>
      </c>
      <c r="Q590" t="s">
        <v>74</v>
      </c>
      <c r="R590" t="s">
        <v>74</v>
      </c>
      <c r="S590" t="s">
        <v>74</v>
      </c>
      <c r="T590" t="s">
        <v>74</v>
      </c>
      <c r="U590" t="s">
        <v>8238</v>
      </c>
      <c r="V590" t="s">
        <v>8239</v>
      </c>
      <c r="W590" t="s">
        <v>8240</v>
      </c>
      <c r="X590" t="s">
        <v>8230</v>
      </c>
      <c r="Y590" t="s">
        <v>74</v>
      </c>
      <c r="Z590" t="s">
        <v>8241</v>
      </c>
      <c r="AA590" t="s">
        <v>8242</v>
      </c>
      <c r="AB590" t="s">
        <v>8243</v>
      </c>
      <c r="AC590" t="s">
        <v>74</v>
      </c>
      <c r="AD590" t="s">
        <v>74</v>
      </c>
      <c r="AE590" t="s">
        <v>74</v>
      </c>
      <c r="AF590" t="s">
        <v>74</v>
      </c>
      <c r="AG590">
        <v>43</v>
      </c>
      <c r="AH590">
        <v>52</v>
      </c>
      <c r="AI590">
        <v>58</v>
      </c>
      <c r="AJ590">
        <v>0</v>
      </c>
      <c r="AK590">
        <v>15</v>
      </c>
      <c r="AL590" t="s">
        <v>1013</v>
      </c>
      <c r="AM590" t="s">
        <v>895</v>
      </c>
      <c r="AN590" t="s">
        <v>1014</v>
      </c>
      <c r="AO590" t="s">
        <v>8184</v>
      </c>
      <c r="AP590" t="s">
        <v>8185</v>
      </c>
      <c r="AQ590" t="s">
        <v>74</v>
      </c>
      <c r="AR590" t="s">
        <v>8186</v>
      </c>
      <c r="AS590" t="s">
        <v>8187</v>
      </c>
      <c r="AT590" t="s">
        <v>74</v>
      </c>
      <c r="AU590">
        <v>2002</v>
      </c>
      <c r="AV590">
        <v>49</v>
      </c>
      <c r="AW590" t="s">
        <v>8188</v>
      </c>
      <c r="AX590" t="s">
        <v>74</v>
      </c>
      <c r="AY590" t="s">
        <v>74</v>
      </c>
      <c r="AZ590" t="s">
        <v>74</v>
      </c>
      <c r="BA590" t="s">
        <v>74</v>
      </c>
      <c r="BB590">
        <v>693</v>
      </c>
      <c r="BC590">
        <v>706</v>
      </c>
      <c r="BD590" t="s">
        <v>74</v>
      </c>
      <c r="BE590" t="s">
        <v>8244</v>
      </c>
      <c r="BF590" t="str">
        <f>HYPERLINK("http://dx.doi.org/10.1016/S0967-0645(01)00119-9","http://dx.doi.org/10.1016/S0967-0645(01)00119-9")</f>
        <v>http://dx.doi.org/10.1016/S0967-0645(01)00119-9</v>
      </c>
      <c r="BG590" t="s">
        <v>74</v>
      </c>
      <c r="BH590" t="s">
        <v>74</v>
      </c>
      <c r="BI590">
        <v>14</v>
      </c>
      <c r="BJ590" t="s">
        <v>1155</v>
      </c>
      <c r="BK590" t="s">
        <v>170</v>
      </c>
      <c r="BL590" t="s">
        <v>1155</v>
      </c>
      <c r="BM590" t="s">
        <v>8190</v>
      </c>
      <c r="BN590" t="s">
        <v>74</v>
      </c>
      <c r="BO590" t="s">
        <v>74</v>
      </c>
      <c r="BP590" t="s">
        <v>74</v>
      </c>
      <c r="BQ590" t="s">
        <v>74</v>
      </c>
      <c r="BR590" t="s">
        <v>107</v>
      </c>
      <c r="BS590" t="s">
        <v>8245</v>
      </c>
      <c r="BT590" t="str">
        <f>HYPERLINK("https%3A%2F%2Fwww.webofscience.com%2Fwos%2Fwoscc%2Ffull-record%2FWOS:000173057900008","View Full Record in Web of Science")</f>
        <v>View Full Record in Web of Science</v>
      </c>
    </row>
    <row r="591" spans="1:72" x14ac:dyDescent="0.15">
      <c r="A591" t="s">
        <v>72</v>
      </c>
      <c r="B591" t="s">
        <v>8246</v>
      </c>
      <c r="C591" t="s">
        <v>74</v>
      </c>
      <c r="D591" t="s">
        <v>74</v>
      </c>
      <c r="E591" t="s">
        <v>74</v>
      </c>
      <c r="F591" t="s">
        <v>8246</v>
      </c>
      <c r="G591" t="s">
        <v>74</v>
      </c>
      <c r="H591" t="s">
        <v>74</v>
      </c>
      <c r="I591" t="s">
        <v>8247</v>
      </c>
      <c r="J591" t="s">
        <v>8176</v>
      </c>
      <c r="K591" t="s">
        <v>74</v>
      </c>
      <c r="L591" t="s">
        <v>74</v>
      </c>
      <c r="M591" t="s">
        <v>77</v>
      </c>
      <c r="N591" t="s">
        <v>153</v>
      </c>
      <c r="O591" t="s">
        <v>74</v>
      </c>
      <c r="P591" t="s">
        <v>74</v>
      </c>
      <c r="Q591" t="s">
        <v>74</v>
      </c>
      <c r="R591" t="s">
        <v>74</v>
      </c>
      <c r="S591" t="s">
        <v>74</v>
      </c>
      <c r="T591" t="s">
        <v>74</v>
      </c>
      <c r="U591" t="s">
        <v>8248</v>
      </c>
      <c r="V591" t="s">
        <v>8249</v>
      </c>
      <c r="W591" t="s">
        <v>8250</v>
      </c>
      <c r="X591" t="s">
        <v>8251</v>
      </c>
      <c r="Y591" t="s">
        <v>8252</v>
      </c>
      <c r="Z591" t="s">
        <v>8253</v>
      </c>
      <c r="AA591" t="s">
        <v>8254</v>
      </c>
      <c r="AB591" t="s">
        <v>8255</v>
      </c>
      <c r="AC591" t="s">
        <v>74</v>
      </c>
      <c r="AD591" t="s">
        <v>74</v>
      </c>
      <c r="AE591" t="s">
        <v>74</v>
      </c>
      <c r="AF591" t="s">
        <v>74</v>
      </c>
      <c r="AG591">
        <v>53</v>
      </c>
      <c r="AH591">
        <v>26</v>
      </c>
      <c r="AI591">
        <v>29</v>
      </c>
      <c r="AJ591">
        <v>0</v>
      </c>
      <c r="AK591">
        <v>11</v>
      </c>
      <c r="AL591" t="s">
        <v>1013</v>
      </c>
      <c r="AM591" t="s">
        <v>895</v>
      </c>
      <c r="AN591" t="s">
        <v>1014</v>
      </c>
      <c r="AO591" t="s">
        <v>8184</v>
      </c>
      <c r="AP591" t="s">
        <v>8185</v>
      </c>
      <c r="AQ591" t="s">
        <v>74</v>
      </c>
      <c r="AR591" t="s">
        <v>8186</v>
      </c>
      <c r="AS591" t="s">
        <v>8187</v>
      </c>
      <c r="AT591" t="s">
        <v>74</v>
      </c>
      <c r="AU591">
        <v>2002</v>
      </c>
      <c r="AV591">
        <v>49</v>
      </c>
      <c r="AW591" t="s">
        <v>8188</v>
      </c>
      <c r="AX591" t="s">
        <v>74</v>
      </c>
      <c r="AY591" t="s">
        <v>74</v>
      </c>
      <c r="AZ591" t="s">
        <v>74</v>
      </c>
      <c r="BA591" t="s">
        <v>74</v>
      </c>
      <c r="BB591">
        <v>707</v>
      </c>
      <c r="BC591">
        <v>721</v>
      </c>
      <c r="BD591" t="s">
        <v>74</v>
      </c>
      <c r="BE591" t="s">
        <v>8256</v>
      </c>
      <c r="BF591" t="str">
        <f>HYPERLINK("http://dx.doi.org/10.1016/S0967-0645(01)00120-5","http://dx.doi.org/10.1016/S0967-0645(01)00120-5")</f>
        <v>http://dx.doi.org/10.1016/S0967-0645(01)00120-5</v>
      </c>
      <c r="BG591" t="s">
        <v>74</v>
      </c>
      <c r="BH591" t="s">
        <v>74</v>
      </c>
      <c r="BI591">
        <v>15</v>
      </c>
      <c r="BJ591" t="s">
        <v>1155</v>
      </c>
      <c r="BK591" t="s">
        <v>170</v>
      </c>
      <c r="BL591" t="s">
        <v>1155</v>
      </c>
      <c r="BM591" t="s">
        <v>8190</v>
      </c>
      <c r="BN591" t="s">
        <v>74</v>
      </c>
      <c r="BO591" t="s">
        <v>74</v>
      </c>
      <c r="BP591" t="s">
        <v>74</v>
      </c>
      <c r="BQ591" t="s">
        <v>74</v>
      </c>
      <c r="BR591" t="s">
        <v>107</v>
      </c>
      <c r="BS591" t="s">
        <v>8257</v>
      </c>
      <c r="BT591" t="str">
        <f>HYPERLINK("https%3A%2F%2Fwww.webofscience.com%2Fwos%2Fwoscc%2Ffull-record%2FWOS:000173057900009","View Full Record in Web of Science")</f>
        <v>View Full Record in Web of Science</v>
      </c>
    </row>
    <row r="592" spans="1:72" x14ac:dyDescent="0.15">
      <c r="A592" t="s">
        <v>72</v>
      </c>
      <c r="B592" t="s">
        <v>8258</v>
      </c>
      <c r="C592" t="s">
        <v>74</v>
      </c>
      <c r="D592" t="s">
        <v>74</v>
      </c>
      <c r="E592" t="s">
        <v>74</v>
      </c>
      <c r="F592" t="s">
        <v>8258</v>
      </c>
      <c r="G592" t="s">
        <v>74</v>
      </c>
      <c r="H592" t="s">
        <v>74</v>
      </c>
      <c r="I592" t="s">
        <v>8259</v>
      </c>
      <c r="J592" t="s">
        <v>8176</v>
      </c>
      <c r="K592" t="s">
        <v>74</v>
      </c>
      <c r="L592" t="s">
        <v>74</v>
      </c>
      <c r="M592" t="s">
        <v>77</v>
      </c>
      <c r="N592" t="s">
        <v>153</v>
      </c>
      <c r="O592" t="s">
        <v>74</v>
      </c>
      <c r="P592" t="s">
        <v>74</v>
      </c>
      <c r="Q592" t="s">
        <v>74</v>
      </c>
      <c r="R592" t="s">
        <v>74</v>
      </c>
      <c r="S592" t="s">
        <v>74</v>
      </c>
      <c r="T592" t="s">
        <v>74</v>
      </c>
      <c r="U592" t="s">
        <v>8260</v>
      </c>
      <c r="V592" t="s">
        <v>8261</v>
      </c>
      <c r="W592" t="s">
        <v>8262</v>
      </c>
      <c r="X592" t="s">
        <v>8263</v>
      </c>
      <c r="Y592" t="s">
        <v>8264</v>
      </c>
      <c r="Z592" t="s">
        <v>74</v>
      </c>
      <c r="AA592" t="s">
        <v>8265</v>
      </c>
      <c r="AB592" t="s">
        <v>8266</v>
      </c>
      <c r="AC592" t="s">
        <v>74</v>
      </c>
      <c r="AD592" t="s">
        <v>74</v>
      </c>
      <c r="AE592" t="s">
        <v>74</v>
      </c>
      <c r="AF592" t="s">
        <v>74</v>
      </c>
      <c r="AG592">
        <v>70</v>
      </c>
      <c r="AH592">
        <v>107</v>
      </c>
      <c r="AI592">
        <v>131</v>
      </c>
      <c r="AJ592">
        <v>0</v>
      </c>
      <c r="AK592">
        <v>22</v>
      </c>
      <c r="AL592" t="s">
        <v>1013</v>
      </c>
      <c r="AM592" t="s">
        <v>895</v>
      </c>
      <c r="AN592" t="s">
        <v>1014</v>
      </c>
      <c r="AO592" t="s">
        <v>8184</v>
      </c>
      <c r="AP592" t="s">
        <v>74</v>
      </c>
      <c r="AQ592" t="s">
        <v>74</v>
      </c>
      <c r="AR592" t="s">
        <v>8186</v>
      </c>
      <c r="AS592" t="s">
        <v>8187</v>
      </c>
      <c r="AT592" t="s">
        <v>74</v>
      </c>
      <c r="AU592">
        <v>2002</v>
      </c>
      <c r="AV592">
        <v>49</v>
      </c>
      <c r="AW592" t="s">
        <v>8188</v>
      </c>
      <c r="AX592" t="s">
        <v>74</v>
      </c>
      <c r="AY592" t="s">
        <v>74</v>
      </c>
      <c r="AZ592" t="s">
        <v>74</v>
      </c>
      <c r="BA592" t="s">
        <v>74</v>
      </c>
      <c r="BB592">
        <v>723</v>
      </c>
      <c r="BC592">
        <v>747</v>
      </c>
      <c r="BD592" t="s">
        <v>74</v>
      </c>
      <c r="BE592" t="s">
        <v>8267</v>
      </c>
      <c r="BF592" t="str">
        <f>HYPERLINK("http://dx.doi.org/10.1016/S0967-0645(01)00121-7","http://dx.doi.org/10.1016/S0967-0645(01)00121-7")</f>
        <v>http://dx.doi.org/10.1016/S0967-0645(01)00121-7</v>
      </c>
      <c r="BG592" t="s">
        <v>74</v>
      </c>
      <c r="BH592" t="s">
        <v>74</v>
      </c>
      <c r="BI592">
        <v>25</v>
      </c>
      <c r="BJ592" t="s">
        <v>1155</v>
      </c>
      <c r="BK592" t="s">
        <v>170</v>
      </c>
      <c r="BL592" t="s">
        <v>1155</v>
      </c>
      <c r="BM592" t="s">
        <v>8190</v>
      </c>
      <c r="BN592" t="s">
        <v>74</v>
      </c>
      <c r="BO592" t="s">
        <v>74</v>
      </c>
      <c r="BP592" t="s">
        <v>74</v>
      </c>
      <c r="BQ592" t="s">
        <v>74</v>
      </c>
      <c r="BR592" t="s">
        <v>107</v>
      </c>
      <c r="BS592" t="s">
        <v>8268</v>
      </c>
      <c r="BT592" t="str">
        <f>HYPERLINK("https%3A%2F%2Fwww.webofscience.com%2Fwos%2Fwoscc%2Ffull-record%2FWOS:000173057900010","View Full Record in Web of Science")</f>
        <v>View Full Record in Web of Science</v>
      </c>
    </row>
    <row r="593" spans="1:72" x14ac:dyDescent="0.15">
      <c r="A593" t="s">
        <v>72</v>
      </c>
      <c r="B593" t="s">
        <v>8269</v>
      </c>
      <c r="C593" t="s">
        <v>74</v>
      </c>
      <c r="D593" t="s">
        <v>74</v>
      </c>
      <c r="E593" t="s">
        <v>74</v>
      </c>
      <c r="F593" t="s">
        <v>8269</v>
      </c>
      <c r="G593" t="s">
        <v>74</v>
      </c>
      <c r="H593" t="s">
        <v>74</v>
      </c>
      <c r="I593" t="s">
        <v>8270</v>
      </c>
      <c r="J593" t="s">
        <v>8176</v>
      </c>
      <c r="K593" t="s">
        <v>74</v>
      </c>
      <c r="L593" t="s">
        <v>74</v>
      </c>
      <c r="M593" t="s">
        <v>77</v>
      </c>
      <c r="N593" t="s">
        <v>153</v>
      </c>
      <c r="O593" t="s">
        <v>74</v>
      </c>
      <c r="P593" t="s">
        <v>74</v>
      </c>
      <c r="Q593" t="s">
        <v>74</v>
      </c>
      <c r="R593" t="s">
        <v>74</v>
      </c>
      <c r="S593" t="s">
        <v>74</v>
      </c>
      <c r="T593" t="s">
        <v>74</v>
      </c>
      <c r="U593" t="s">
        <v>8271</v>
      </c>
      <c r="V593" t="s">
        <v>8272</v>
      </c>
      <c r="W593" t="s">
        <v>8273</v>
      </c>
      <c r="X593" t="s">
        <v>8274</v>
      </c>
      <c r="Y593" t="s">
        <v>8275</v>
      </c>
      <c r="Z593" t="s">
        <v>8276</v>
      </c>
      <c r="AA593" t="s">
        <v>8277</v>
      </c>
      <c r="AB593" t="s">
        <v>8278</v>
      </c>
      <c r="AC593" t="s">
        <v>74</v>
      </c>
      <c r="AD593" t="s">
        <v>74</v>
      </c>
      <c r="AE593" t="s">
        <v>74</v>
      </c>
      <c r="AF593" t="s">
        <v>74</v>
      </c>
      <c r="AG593">
        <v>92</v>
      </c>
      <c r="AH593">
        <v>97</v>
      </c>
      <c r="AI593">
        <v>112</v>
      </c>
      <c r="AJ593">
        <v>0</v>
      </c>
      <c r="AK593">
        <v>21</v>
      </c>
      <c r="AL593" t="s">
        <v>1013</v>
      </c>
      <c r="AM593" t="s">
        <v>895</v>
      </c>
      <c r="AN593" t="s">
        <v>1014</v>
      </c>
      <c r="AO593" t="s">
        <v>8184</v>
      </c>
      <c r="AP593" t="s">
        <v>8185</v>
      </c>
      <c r="AQ593" t="s">
        <v>74</v>
      </c>
      <c r="AR593" t="s">
        <v>8186</v>
      </c>
      <c r="AS593" t="s">
        <v>8187</v>
      </c>
      <c r="AT593" t="s">
        <v>74</v>
      </c>
      <c r="AU593">
        <v>2002</v>
      </c>
      <c r="AV593">
        <v>49</v>
      </c>
      <c r="AW593" t="s">
        <v>8188</v>
      </c>
      <c r="AX593" t="s">
        <v>74</v>
      </c>
      <c r="AY593" t="s">
        <v>74</v>
      </c>
      <c r="AZ593" t="s">
        <v>74</v>
      </c>
      <c r="BA593" t="s">
        <v>74</v>
      </c>
      <c r="BB593">
        <v>749</v>
      </c>
      <c r="BC593">
        <v>768</v>
      </c>
      <c r="BD593" t="s">
        <v>74</v>
      </c>
      <c r="BE593" t="s">
        <v>8279</v>
      </c>
      <c r="BF593" t="str">
        <f>HYPERLINK("http://dx.doi.org/10.1016/S0967-0645(01)00122-9","http://dx.doi.org/10.1016/S0967-0645(01)00122-9")</f>
        <v>http://dx.doi.org/10.1016/S0967-0645(01)00122-9</v>
      </c>
      <c r="BG593" t="s">
        <v>74</v>
      </c>
      <c r="BH593" t="s">
        <v>74</v>
      </c>
      <c r="BI593">
        <v>20</v>
      </c>
      <c r="BJ593" t="s">
        <v>1155</v>
      </c>
      <c r="BK593" t="s">
        <v>170</v>
      </c>
      <c r="BL593" t="s">
        <v>1155</v>
      </c>
      <c r="BM593" t="s">
        <v>8190</v>
      </c>
      <c r="BN593" t="s">
        <v>74</v>
      </c>
      <c r="BO593" t="s">
        <v>74</v>
      </c>
      <c r="BP593" t="s">
        <v>74</v>
      </c>
      <c r="BQ593" t="s">
        <v>74</v>
      </c>
      <c r="BR593" t="s">
        <v>107</v>
      </c>
      <c r="BS593" t="s">
        <v>8280</v>
      </c>
      <c r="BT593" t="str">
        <f>HYPERLINK("https%3A%2F%2Fwww.webofscience.com%2Fwos%2Fwoscc%2Ffull-record%2FWOS:000173057900011","View Full Record in Web of Science")</f>
        <v>View Full Record in Web of Science</v>
      </c>
    </row>
    <row r="594" spans="1:72" x14ac:dyDescent="0.15">
      <c r="A594" t="s">
        <v>72</v>
      </c>
      <c r="B594" t="s">
        <v>8281</v>
      </c>
      <c r="C594" t="s">
        <v>74</v>
      </c>
      <c r="D594" t="s">
        <v>74</v>
      </c>
      <c r="E594" t="s">
        <v>74</v>
      </c>
      <c r="F594" t="s">
        <v>8281</v>
      </c>
      <c r="G594" t="s">
        <v>74</v>
      </c>
      <c r="H594" t="s">
        <v>74</v>
      </c>
      <c r="I594" t="s">
        <v>8282</v>
      </c>
      <c r="J594" t="s">
        <v>8176</v>
      </c>
      <c r="K594" t="s">
        <v>74</v>
      </c>
      <c r="L594" t="s">
        <v>74</v>
      </c>
      <c r="M594" t="s">
        <v>77</v>
      </c>
      <c r="N594" t="s">
        <v>153</v>
      </c>
      <c r="O594" t="s">
        <v>74</v>
      </c>
      <c r="P594" t="s">
        <v>74</v>
      </c>
      <c r="Q594" t="s">
        <v>74</v>
      </c>
      <c r="R594" t="s">
        <v>74</v>
      </c>
      <c r="S594" t="s">
        <v>74</v>
      </c>
      <c r="T594" t="s">
        <v>74</v>
      </c>
      <c r="U594" t="s">
        <v>8283</v>
      </c>
      <c r="V594" t="s">
        <v>8284</v>
      </c>
      <c r="W594" t="s">
        <v>8285</v>
      </c>
      <c r="X594" t="s">
        <v>8286</v>
      </c>
      <c r="Y594" t="s">
        <v>8287</v>
      </c>
      <c r="Z594" t="s">
        <v>74</v>
      </c>
      <c r="AA594" t="s">
        <v>8288</v>
      </c>
      <c r="AB594" t="s">
        <v>8289</v>
      </c>
      <c r="AC594" t="s">
        <v>74</v>
      </c>
      <c r="AD594" t="s">
        <v>74</v>
      </c>
      <c r="AE594" t="s">
        <v>74</v>
      </c>
      <c r="AF594" t="s">
        <v>74</v>
      </c>
      <c r="AG594">
        <v>85</v>
      </c>
      <c r="AH594">
        <v>48</v>
      </c>
      <c r="AI594">
        <v>52</v>
      </c>
      <c r="AJ594">
        <v>0</v>
      </c>
      <c r="AK594">
        <v>24</v>
      </c>
      <c r="AL594" t="s">
        <v>1013</v>
      </c>
      <c r="AM594" t="s">
        <v>895</v>
      </c>
      <c r="AN594" t="s">
        <v>1014</v>
      </c>
      <c r="AO594" t="s">
        <v>8184</v>
      </c>
      <c r="AP594" t="s">
        <v>74</v>
      </c>
      <c r="AQ594" t="s">
        <v>74</v>
      </c>
      <c r="AR594" t="s">
        <v>8186</v>
      </c>
      <c r="AS594" t="s">
        <v>8187</v>
      </c>
      <c r="AT594" t="s">
        <v>74</v>
      </c>
      <c r="AU594">
        <v>2002</v>
      </c>
      <c r="AV594">
        <v>49</v>
      </c>
      <c r="AW594" t="s">
        <v>8188</v>
      </c>
      <c r="AX594" t="s">
        <v>74</v>
      </c>
      <c r="AY594" t="s">
        <v>74</v>
      </c>
      <c r="AZ594" t="s">
        <v>74</v>
      </c>
      <c r="BA594" t="s">
        <v>74</v>
      </c>
      <c r="BB594">
        <v>769</v>
      </c>
      <c r="BC594">
        <v>786</v>
      </c>
      <c r="BD594" t="s">
        <v>74</v>
      </c>
      <c r="BE594" t="s">
        <v>8290</v>
      </c>
      <c r="BF594" t="str">
        <f>HYPERLINK("http://dx.doi.org/10.1016/S0967-0645(01)00123-0","http://dx.doi.org/10.1016/S0967-0645(01)00123-0")</f>
        <v>http://dx.doi.org/10.1016/S0967-0645(01)00123-0</v>
      </c>
      <c r="BG594" t="s">
        <v>74</v>
      </c>
      <c r="BH594" t="s">
        <v>74</v>
      </c>
      <c r="BI594">
        <v>18</v>
      </c>
      <c r="BJ594" t="s">
        <v>1155</v>
      </c>
      <c r="BK594" t="s">
        <v>170</v>
      </c>
      <c r="BL594" t="s">
        <v>1155</v>
      </c>
      <c r="BM594" t="s">
        <v>8190</v>
      </c>
      <c r="BN594" t="s">
        <v>74</v>
      </c>
      <c r="BO594" t="s">
        <v>74</v>
      </c>
      <c r="BP594" t="s">
        <v>74</v>
      </c>
      <c r="BQ594" t="s">
        <v>74</v>
      </c>
      <c r="BR594" t="s">
        <v>107</v>
      </c>
      <c r="BS594" t="s">
        <v>8291</v>
      </c>
      <c r="BT594" t="str">
        <f>HYPERLINK("https%3A%2F%2Fwww.webofscience.com%2Fwos%2Fwoscc%2Ffull-record%2FWOS:000173057900012","View Full Record in Web of Science")</f>
        <v>View Full Record in Web of Science</v>
      </c>
    </row>
    <row r="595" spans="1:72" x14ac:dyDescent="0.15">
      <c r="A595" t="s">
        <v>72</v>
      </c>
      <c r="B595" t="s">
        <v>8292</v>
      </c>
      <c r="C595" t="s">
        <v>74</v>
      </c>
      <c r="D595" t="s">
        <v>74</v>
      </c>
      <c r="E595" t="s">
        <v>74</v>
      </c>
      <c r="F595" t="s">
        <v>8292</v>
      </c>
      <c r="G595" t="s">
        <v>74</v>
      </c>
      <c r="H595" t="s">
        <v>74</v>
      </c>
      <c r="I595" t="s">
        <v>8293</v>
      </c>
      <c r="J595" t="s">
        <v>8176</v>
      </c>
      <c r="K595" t="s">
        <v>74</v>
      </c>
      <c r="L595" t="s">
        <v>74</v>
      </c>
      <c r="M595" t="s">
        <v>77</v>
      </c>
      <c r="N595" t="s">
        <v>153</v>
      </c>
      <c r="O595" t="s">
        <v>74</v>
      </c>
      <c r="P595" t="s">
        <v>74</v>
      </c>
      <c r="Q595" t="s">
        <v>74</v>
      </c>
      <c r="R595" t="s">
        <v>74</v>
      </c>
      <c r="S595" t="s">
        <v>74</v>
      </c>
      <c r="T595" t="s">
        <v>74</v>
      </c>
      <c r="U595" t="s">
        <v>8294</v>
      </c>
      <c r="V595" t="s">
        <v>8295</v>
      </c>
      <c r="W595" t="s">
        <v>8296</v>
      </c>
      <c r="X595" t="s">
        <v>8286</v>
      </c>
      <c r="Y595" t="s">
        <v>74</v>
      </c>
      <c r="Z595" t="s">
        <v>8297</v>
      </c>
      <c r="AA595" t="s">
        <v>8298</v>
      </c>
      <c r="AB595" t="s">
        <v>8299</v>
      </c>
      <c r="AC595" t="s">
        <v>74</v>
      </c>
      <c r="AD595" t="s">
        <v>74</v>
      </c>
      <c r="AE595" t="s">
        <v>74</v>
      </c>
      <c r="AF595" t="s">
        <v>74</v>
      </c>
      <c r="AG595">
        <v>55</v>
      </c>
      <c r="AH595">
        <v>44</v>
      </c>
      <c r="AI595">
        <v>45</v>
      </c>
      <c r="AJ595">
        <v>0</v>
      </c>
      <c r="AK595">
        <v>14</v>
      </c>
      <c r="AL595" t="s">
        <v>1013</v>
      </c>
      <c r="AM595" t="s">
        <v>895</v>
      </c>
      <c r="AN595" t="s">
        <v>1014</v>
      </c>
      <c r="AO595" t="s">
        <v>8184</v>
      </c>
      <c r="AP595" t="s">
        <v>8185</v>
      </c>
      <c r="AQ595" t="s">
        <v>74</v>
      </c>
      <c r="AR595" t="s">
        <v>8186</v>
      </c>
      <c r="AS595" t="s">
        <v>8187</v>
      </c>
      <c r="AT595" t="s">
        <v>74</v>
      </c>
      <c r="AU595">
        <v>2002</v>
      </c>
      <c r="AV595">
        <v>49</v>
      </c>
      <c r="AW595" t="s">
        <v>8188</v>
      </c>
      <c r="AX595" t="s">
        <v>74</v>
      </c>
      <c r="AY595" t="s">
        <v>74</v>
      </c>
      <c r="AZ595" t="s">
        <v>74</v>
      </c>
      <c r="BA595" t="s">
        <v>74</v>
      </c>
      <c r="BB595">
        <v>805</v>
      </c>
      <c r="BC595">
        <v>825</v>
      </c>
      <c r="BD595" t="s">
        <v>74</v>
      </c>
      <c r="BE595" t="s">
        <v>8300</v>
      </c>
      <c r="BF595" t="str">
        <f>HYPERLINK("http://dx.doi.org/10.1016/S0967-0645(01)00125-4","http://dx.doi.org/10.1016/S0967-0645(01)00125-4")</f>
        <v>http://dx.doi.org/10.1016/S0967-0645(01)00125-4</v>
      </c>
      <c r="BG595" t="s">
        <v>74</v>
      </c>
      <c r="BH595" t="s">
        <v>74</v>
      </c>
      <c r="BI595">
        <v>21</v>
      </c>
      <c r="BJ595" t="s">
        <v>1155</v>
      </c>
      <c r="BK595" t="s">
        <v>170</v>
      </c>
      <c r="BL595" t="s">
        <v>1155</v>
      </c>
      <c r="BM595" t="s">
        <v>8190</v>
      </c>
      <c r="BN595" t="s">
        <v>74</v>
      </c>
      <c r="BO595" t="s">
        <v>74</v>
      </c>
      <c r="BP595" t="s">
        <v>74</v>
      </c>
      <c r="BQ595" t="s">
        <v>74</v>
      </c>
      <c r="BR595" t="s">
        <v>107</v>
      </c>
      <c r="BS595" t="s">
        <v>8301</v>
      </c>
      <c r="BT595" t="str">
        <f>HYPERLINK("https%3A%2F%2Fwww.webofscience.com%2Fwos%2Fwoscc%2Ffull-record%2FWOS:000173057900014","View Full Record in Web of Science")</f>
        <v>View Full Record in Web of Science</v>
      </c>
    </row>
    <row r="596" spans="1:72" x14ac:dyDescent="0.15">
      <c r="A596" t="s">
        <v>72</v>
      </c>
      <c r="B596" t="s">
        <v>8302</v>
      </c>
      <c r="C596" t="s">
        <v>74</v>
      </c>
      <c r="D596" t="s">
        <v>74</v>
      </c>
      <c r="E596" t="s">
        <v>74</v>
      </c>
      <c r="F596" t="s">
        <v>8302</v>
      </c>
      <c r="G596" t="s">
        <v>74</v>
      </c>
      <c r="H596" t="s">
        <v>74</v>
      </c>
      <c r="I596" t="s">
        <v>8303</v>
      </c>
      <c r="J596" t="s">
        <v>8176</v>
      </c>
      <c r="K596" t="s">
        <v>74</v>
      </c>
      <c r="L596" t="s">
        <v>74</v>
      </c>
      <c r="M596" t="s">
        <v>77</v>
      </c>
      <c r="N596" t="s">
        <v>153</v>
      </c>
      <c r="O596" t="s">
        <v>74</v>
      </c>
      <c r="P596" t="s">
        <v>74</v>
      </c>
      <c r="Q596" t="s">
        <v>74</v>
      </c>
      <c r="R596" t="s">
        <v>74</v>
      </c>
      <c r="S596" t="s">
        <v>74</v>
      </c>
      <c r="T596" t="s">
        <v>74</v>
      </c>
      <c r="U596" t="s">
        <v>8304</v>
      </c>
      <c r="V596" t="s">
        <v>8305</v>
      </c>
      <c r="W596" t="s">
        <v>8306</v>
      </c>
      <c r="X596" t="s">
        <v>8286</v>
      </c>
      <c r="Y596" t="s">
        <v>74</v>
      </c>
      <c r="Z596" t="s">
        <v>8297</v>
      </c>
      <c r="AA596" t="s">
        <v>8307</v>
      </c>
      <c r="AB596" t="s">
        <v>8308</v>
      </c>
      <c r="AC596" t="s">
        <v>74</v>
      </c>
      <c r="AD596" t="s">
        <v>74</v>
      </c>
      <c r="AE596" t="s">
        <v>74</v>
      </c>
      <c r="AF596" t="s">
        <v>74</v>
      </c>
      <c r="AG596">
        <v>34</v>
      </c>
      <c r="AH596">
        <v>73</v>
      </c>
      <c r="AI596">
        <v>84</v>
      </c>
      <c r="AJ596">
        <v>0</v>
      </c>
      <c r="AK596">
        <v>21</v>
      </c>
      <c r="AL596" t="s">
        <v>1013</v>
      </c>
      <c r="AM596" t="s">
        <v>895</v>
      </c>
      <c r="AN596" t="s">
        <v>1014</v>
      </c>
      <c r="AO596" t="s">
        <v>8184</v>
      </c>
      <c r="AP596" t="s">
        <v>8185</v>
      </c>
      <c r="AQ596" t="s">
        <v>74</v>
      </c>
      <c r="AR596" t="s">
        <v>8186</v>
      </c>
      <c r="AS596" t="s">
        <v>8187</v>
      </c>
      <c r="AT596" t="s">
        <v>74</v>
      </c>
      <c r="AU596">
        <v>2002</v>
      </c>
      <c r="AV596">
        <v>49</v>
      </c>
      <c r="AW596" t="s">
        <v>8188</v>
      </c>
      <c r="AX596" t="s">
        <v>74</v>
      </c>
      <c r="AY596" t="s">
        <v>74</v>
      </c>
      <c r="AZ596" t="s">
        <v>74</v>
      </c>
      <c r="BA596" t="s">
        <v>74</v>
      </c>
      <c r="BB596">
        <v>827</v>
      </c>
      <c r="BC596">
        <v>845</v>
      </c>
      <c r="BD596" t="s">
        <v>74</v>
      </c>
      <c r="BE596" t="s">
        <v>8309</v>
      </c>
      <c r="BF596" t="str">
        <f>HYPERLINK("http://dx.doi.org/10.1016/S0967-0645(01)00126-6","http://dx.doi.org/10.1016/S0967-0645(01)00126-6")</f>
        <v>http://dx.doi.org/10.1016/S0967-0645(01)00126-6</v>
      </c>
      <c r="BG596" t="s">
        <v>74</v>
      </c>
      <c r="BH596" t="s">
        <v>74</v>
      </c>
      <c r="BI596">
        <v>19</v>
      </c>
      <c r="BJ596" t="s">
        <v>1155</v>
      </c>
      <c r="BK596" t="s">
        <v>170</v>
      </c>
      <c r="BL596" t="s">
        <v>1155</v>
      </c>
      <c r="BM596" t="s">
        <v>8190</v>
      </c>
      <c r="BN596" t="s">
        <v>74</v>
      </c>
      <c r="BO596" t="s">
        <v>74</v>
      </c>
      <c r="BP596" t="s">
        <v>74</v>
      </c>
      <c r="BQ596" t="s">
        <v>74</v>
      </c>
      <c r="BR596" t="s">
        <v>107</v>
      </c>
      <c r="BS596" t="s">
        <v>8310</v>
      </c>
      <c r="BT596" t="str">
        <f>HYPERLINK("https%3A%2F%2Fwww.webofscience.com%2Fwos%2Fwoscc%2Ffull-record%2FWOS:000173057900015","View Full Record in Web of Science")</f>
        <v>View Full Record in Web of Science</v>
      </c>
    </row>
    <row r="597" spans="1:72" x14ac:dyDescent="0.15">
      <c r="A597" t="s">
        <v>72</v>
      </c>
      <c r="B597" t="s">
        <v>8311</v>
      </c>
      <c r="C597" t="s">
        <v>74</v>
      </c>
      <c r="D597" t="s">
        <v>74</v>
      </c>
      <c r="E597" t="s">
        <v>74</v>
      </c>
      <c r="F597" t="s">
        <v>8311</v>
      </c>
      <c r="G597" t="s">
        <v>74</v>
      </c>
      <c r="H597" t="s">
        <v>74</v>
      </c>
      <c r="I597" t="s">
        <v>8312</v>
      </c>
      <c r="J597" t="s">
        <v>8176</v>
      </c>
      <c r="K597" t="s">
        <v>74</v>
      </c>
      <c r="L597" t="s">
        <v>74</v>
      </c>
      <c r="M597" t="s">
        <v>77</v>
      </c>
      <c r="N597" t="s">
        <v>153</v>
      </c>
      <c r="O597" t="s">
        <v>74</v>
      </c>
      <c r="P597" t="s">
        <v>74</v>
      </c>
      <c r="Q597" t="s">
        <v>74</v>
      </c>
      <c r="R597" t="s">
        <v>74</v>
      </c>
      <c r="S597" t="s">
        <v>74</v>
      </c>
      <c r="T597" t="s">
        <v>74</v>
      </c>
      <c r="U597" t="s">
        <v>8313</v>
      </c>
      <c r="V597" t="s">
        <v>8314</v>
      </c>
      <c r="W597" t="s">
        <v>8315</v>
      </c>
      <c r="X597" t="s">
        <v>8286</v>
      </c>
      <c r="Y597" t="s">
        <v>74</v>
      </c>
      <c r="Z597" t="s">
        <v>8316</v>
      </c>
      <c r="AA597" t="s">
        <v>8298</v>
      </c>
      <c r="AB597" t="s">
        <v>8299</v>
      </c>
      <c r="AC597" t="s">
        <v>74</v>
      </c>
      <c r="AD597" t="s">
        <v>74</v>
      </c>
      <c r="AE597" t="s">
        <v>74</v>
      </c>
      <c r="AF597" t="s">
        <v>74</v>
      </c>
      <c r="AG597">
        <v>64</v>
      </c>
      <c r="AH597">
        <v>28</v>
      </c>
      <c r="AI597">
        <v>32</v>
      </c>
      <c r="AJ597">
        <v>0</v>
      </c>
      <c r="AK597">
        <v>4</v>
      </c>
      <c r="AL597" t="s">
        <v>1013</v>
      </c>
      <c r="AM597" t="s">
        <v>895</v>
      </c>
      <c r="AN597" t="s">
        <v>1014</v>
      </c>
      <c r="AO597" t="s">
        <v>8184</v>
      </c>
      <c r="AP597" t="s">
        <v>8185</v>
      </c>
      <c r="AQ597" t="s">
        <v>74</v>
      </c>
      <c r="AR597" t="s">
        <v>8186</v>
      </c>
      <c r="AS597" t="s">
        <v>8187</v>
      </c>
      <c r="AT597" t="s">
        <v>74</v>
      </c>
      <c r="AU597">
        <v>2002</v>
      </c>
      <c r="AV597">
        <v>49</v>
      </c>
      <c r="AW597" t="s">
        <v>8188</v>
      </c>
      <c r="AX597" t="s">
        <v>74</v>
      </c>
      <c r="AY597" t="s">
        <v>74</v>
      </c>
      <c r="AZ597" t="s">
        <v>74</v>
      </c>
      <c r="BA597" t="s">
        <v>74</v>
      </c>
      <c r="BB597">
        <v>847</v>
      </c>
      <c r="BC597">
        <v>867</v>
      </c>
      <c r="BD597" t="s">
        <v>74</v>
      </c>
      <c r="BE597" t="s">
        <v>8317</v>
      </c>
      <c r="BF597" t="str">
        <f>HYPERLINK("http://dx.doi.org/10.1016/S0967-0645(01)00127-8","http://dx.doi.org/10.1016/S0967-0645(01)00127-8")</f>
        <v>http://dx.doi.org/10.1016/S0967-0645(01)00127-8</v>
      </c>
      <c r="BG597" t="s">
        <v>74</v>
      </c>
      <c r="BH597" t="s">
        <v>74</v>
      </c>
      <c r="BI597">
        <v>21</v>
      </c>
      <c r="BJ597" t="s">
        <v>1155</v>
      </c>
      <c r="BK597" t="s">
        <v>170</v>
      </c>
      <c r="BL597" t="s">
        <v>1155</v>
      </c>
      <c r="BM597" t="s">
        <v>8190</v>
      </c>
      <c r="BN597" t="s">
        <v>74</v>
      </c>
      <c r="BO597" t="s">
        <v>74</v>
      </c>
      <c r="BP597" t="s">
        <v>74</v>
      </c>
      <c r="BQ597" t="s">
        <v>74</v>
      </c>
      <c r="BR597" t="s">
        <v>107</v>
      </c>
      <c r="BS597" t="s">
        <v>8318</v>
      </c>
      <c r="BT597" t="str">
        <f>HYPERLINK("https%3A%2F%2Fwww.webofscience.com%2Fwos%2Fwoscc%2Ffull-record%2FWOS:000173057900016","View Full Record in Web of Science")</f>
        <v>View Full Record in Web of Science</v>
      </c>
    </row>
    <row r="598" spans="1:72" x14ac:dyDescent="0.15">
      <c r="A598" t="s">
        <v>72</v>
      </c>
      <c r="B598" t="s">
        <v>8319</v>
      </c>
      <c r="C598" t="s">
        <v>74</v>
      </c>
      <c r="D598" t="s">
        <v>74</v>
      </c>
      <c r="E598" t="s">
        <v>74</v>
      </c>
      <c r="F598" t="s">
        <v>8319</v>
      </c>
      <c r="G598" t="s">
        <v>74</v>
      </c>
      <c r="H598" t="s">
        <v>74</v>
      </c>
      <c r="I598" t="s">
        <v>8320</v>
      </c>
      <c r="J598" t="s">
        <v>8176</v>
      </c>
      <c r="K598" t="s">
        <v>74</v>
      </c>
      <c r="L598" t="s">
        <v>74</v>
      </c>
      <c r="M598" t="s">
        <v>77</v>
      </c>
      <c r="N598" t="s">
        <v>153</v>
      </c>
      <c r="O598" t="s">
        <v>74</v>
      </c>
      <c r="P598" t="s">
        <v>74</v>
      </c>
      <c r="Q598" t="s">
        <v>74</v>
      </c>
      <c r="R598" t="s">
        <v>74</v>
      </c>
      <c r="S598" t="s">
        <v>74</v>
      </c>
      <c r="T598" t="s">
        <v>74</v>
      </c>
      <c r="U598" t="s">
        <v>8321</v>
      </c>
      <c r="V598" t="s">
        <v>8322</v>
      </c>
      <c r="W598" t="s">
        <v>8323</v>
      </c>
      <c r="X598" t="s">
        <v>8324</v>
      </c>
      <c r="Y598" t="s">
        <v>8325</v>
      </c>
      <c r="Z598" t="s">
        <v>74</v>
      </c>
      <c r="AA598" t="s">
        <v>8326</v>
      </c>
      <c r="AB598" t="s">
        <v>8327</v>
      </c>
      <c r="AC598" t="s">
        <v>74</v>
      </c>
      <c r="AD598" t="s">
        <v>74</v>
      </c>
      <c r="AE598" t="s">
        <v>74</v>
      </c>
      <c r="AF598" t="s">
        <v>74</v>
      </c>
      <c r="AG598">
        <v>32</v>
      </c>
      <c r="AH598">
        <v>26</v>
      </c>
      <c r="AI598">
        <v>32</v>
      </c>
      <c r="AJ598">
        <v>0</v>
      </c>
      <c r="AK598">
        <v>4</v>
      </c>
      <c r="AL598" t="s">
        <v>1013</v>
      </c>
      <c r="AM598" t="s">
        <v>895</v>
      </c>
      <c r="AN598" t="s">
        <v>1014</v>
      </c>
      <c r="AO598" t="s">
        <v>8184</v>
      </c>
      <c r="AP598" t="s">
        <v>74</v>
      </c>
      <c r="AQ598" t="s">
        <v>74</v>
      </c>
      <c r="AR598" t="s">
        <v>8186</v>
      </c>
      <c r="AS598" t="s">
        <v>8187</v>
      </c>
      <c r="AT598" t="s">
        <v>74</v>
      </c>
      <c r="AU598">
        <v>2002</v>
      </c>
      <c r="AV598">
        <v>49</v>
      </c>
      <c r="AW598" t="s">
        <v>8188</v>
      </c>
      <c r="AX598" t="s">
        <v>74</v>
      </c>
      <c r="AY598" t="s">
        <v>74</v>
      </c>
      <c r="AZ598" t="s">
        <v>74</v>
      </c>
      <c r="BA598" t="s">
        <v>74</v>
      </c>
      <c r="BB598">
        <v>869</v>
      </c>
      <c r="BC598">
        <v>882</v>
      </c>
      <c r="BD598" t="s">
        <v>74</v>
      </c>
      <c r="BE598" t="s">
        <v>8328</v>
      </c>
      <c r="BF598" t="str">
        <f>HYPERLINK("http://dx.doi.org/10.1016/S0967-0645(01)00128-X","http://dx.doi.org/10.1016/S0967-0645(01)00128-X")</f>
        <v>http://dx.doi.org/10.1016/S0967-0645(01)00128-X</v>
      </c>
      <c r="BG598" t="s">
        <v>74</v>
      </c>
      <c r="BH598" t="s">
        <v>74</v>
      </c>
      <c r="BI598">
        <v>14</v>
      </c>
      <c r="BJ598" t="s">
        <v>1155</v>
      </c>
      <c r="BK598" t="s">
        <v>170</v>
      </c>
      <c r="BL598" t="s">
        <v>1155</v>
      </c>
      <c r="BM598" t="s">
        <v>8190</v>
      </c>
      <c r="BN598" t="s">
        <v>74</v>
      </c>
      <c r="BO598" t="s">
        <v>74</v>
      </c>
      <c r="BP598" t="s">
        <v>74</v>
      </c>
      <c r="BQ598" t="s">
        <v>74</v>
      </c>
      <c r="BR598" t="s">
        <v>107</v>
      </c>
      <c r="BS598" t="s">
        <v>8329</v>
      </c>
      <c r="BT598" t="str">
        <f>HYPERLINK("https%3A%2F%2Fwww.webofscience.com%2Fwos%2Fwoscc%2Ffull-record%2FWOS:000173057900017","View Full Record in Web of Science")</f>
        <v>View Full Record in Web of Science</v>
      </c>
    </row>
    <row r="599" spans="1:72" x14ac:dyDescent="0.15">
      <c r="A599" t="s">
        <v>72</v>
      </c>
      <c r="B599" t="s">
        <v>8330</v>
      </c>
      <c r="C599" t="s">
        <v>74</v>
      </c>
      <c r="D599" t="s">
        <v>74</v>
      </c>
      <c r="E599" t="s">
        <v>74</v>
      </c>
      <c r="F599" t="s">
        <v>8330</v>
      </c>
      <c r="G599" t="s">
        <v>74</v>
      </c>
      <c r="H599" t="s">
        <v>74</v>
      </c>
      <c r="I599" t="s">
        <v>8331</v>
      </c>
      <c r="J599" t="s">
        <v>8176</v>
      </c>
      <c r="K599" t="s">
        <v>74</v>
      </c>
      <c r="L599" t="s">
        <v>74</v>
      </c>
      <c r="M599" t="s">
        <v>77</v>
      </c>
      <c r="N599" t="s">
        <v>153</v>
      </c>
      <c r="O599" t="s">
        <v>74</v>
      </c>
      <c r="P599" t="s">
        <v>74</v>
      </c>
      <c r="Q599" t="s">
        <v>74</v>
      </c>
      <c r="R599" t="s">
        <v>74</v>
      </c>
      <c r="S599" t="s">
        <v>74</v>
      </c>
      <c r="T599" t="s">
        <v>74</v>
      </c>
      <c r="U599" t="s">
        <v>8332</v>
      </c>
      <c r="V599" t="s">
        <v>8333</v>
      </c>
      <c r="W599" t="s">
        <v>8334</v>
      </c>
      <c r="X599" t="s">
        <v>8335</v>
      </c>
      <c r="Y599" t="s">
        <v>8336</v>
      </c>
      <c r="Z599" t="s">
        <v>74</v>
      </c>
      <c r="AA599" t="s">
        <v>8337</v>
      </c>
      <c r="AB599" t="s">
        <v>8338</v>
      </c>
      <c r="AC599" t="s">
        <v>74</v>
      </c>
      <c r="AD599" t="s">
        <v>74</v>
      </c>
      <c r="AE599" t="s">
        <v>74</v>
      </c>
      <c r="AF599" t="s">
        <v>74</v>
      </c>
      <c r="AG599">
        <v>62</v>
      </c>
      <c r="AH599">
        <v>39</v>
      </c>
      <c r="AI599">
        <v>43</v>
      </c>
      <c r="AJ599">
        <v>0</v>
      </c>
      <c r="AK599">
        <v>8</v>
      </c>
      <c r="AL599" t="s">
        <v>1013</v>
      </c>
      <c r="AM599" t="s">
        <v>895</v>
      </c>
      <c r="AN599" t="s">
        <v>1014</v>
      </c>
      <c r="AO599" t="s">
        <v>8184</v>
      </c>
      <c r="AP599" t="s">
        <v>74</v>
      </c>
      <c r="AQ599" t="s">
        <v>74</v>
      </c>
      <c r="AR599" t="s">
        <v>8186</v>
      </c>
      <c r="AS599" t="s">
        <v>8187</v>
      </c>
      <c r="AT599" t="s">
        <v>74</v>
      </c>
      <c r="AU599">
        <v>2002</v>
      </c>
      <c r="AV599">
        <v>49</v>
      </c>
      <c r="AW599" t="s">
        <v>8188</v>
      </c>
      <c r="AX599" t="s">
        <v>74</v>
      </c>
      <c r="AY599" t="s">
        <v>74</v>
      </c>
      <c r="AZ599" t="s">
        <v>74</v>
      </c>
      <c r="BA599" t="s">
        <v>74</v>
      </c>
      <c r="BB599">
        <v>883</v>
      </c>
      <c r="BC599">
        <v>901</v>
      </c>
      <c r="BD599" t="s">
        <v>74</v>
      </c>
      <c r="BE599" t="s">
        <v>8339</v>
      </c>
      <c r="BF599" t="str">
        <f>HYPERLINK("http://dx.doi.org/10.1016/S0967-0645(01)00129-1","http://dx.doi.org/10.1016/S0967-0645(01)00129-1")</f>
        <v>http://dx.doi.org/10.1016/S0967-0645(01)00129-1</v>
      </c>
      <c r="BG599" t="s">
        <v>74</v>
      </c>
      <c r="BH599" t="s">
        <v>74</v>
      </c>
      <c r="BI599">
        <v>19</v>
      </c>
      <c r="BJ599" t="s">
        <v>1155</v>
      </c>
      <c r="BK599" t="s">
        <v>170</v>
      </c>
      <c r="BL599" t="s">
        <v>1155</v>
      </c>
      <c r="BM599" t="s">
        <v>8190</v>
      </c>
      <c r="BN599" t="s">
        <v>74</v>
      </c>
      <c r="BO599" t="s">
        <v>74</v>
      </c>
      <c r="BP599" t="s">
        <v>74</v>
      </c>
      <c r="BQ599" t="s">
        <v>74</v>
      </c>
      <c r="BR599" t="s">
        <v>107</v>
      </c>
      <c r="BS599" t="s">
        <v>8340</v>
      </c>
      <c r="BT599" t="str">
        <f>HYPERLINK("https%3A%2F%2Fwww.webofscience.com%2Fwos%2Fwoscc%2Ffull-record%2FWOS:000173057900018","View Full Record in Web of Science")</f>
        <v>View Full Record in Web of Science</v>
      </c>
    </row>
    <row r="600" spans="1:72" x14ac:dyDescent="0.15">
      <c r="A600" t="s">
        <v>72</v>
      </c>
      <c r="B600" t="s">
        <v>8341</v>
      </c>
      <c r="C600" t="s">
        <v>74</v>
      </c>
      <c r="D600" t="s">
        <v>74</v>
      </c>
      <c r="E600" t="s">
        <v>74</v>
      </c>
      <c r="F600" t="s">
        <v>8341</v>
      </c>
      <c r="G600" t="s">
        <v>74</v>
      </c>
      <c r="H600" t="s">
        <v>74</v>
      </c>
      <c r="I600" t="s">
        <v>8342</v>
      </c>
      <c r="J600" t="s">
        <v>8176</v>
      </c>
      <c r="K600" t="s">
        <v>74</v>
      </c>
      <c r="L600" t="s">
        <v>74</v>
      </c>
      <c r="M600" t="s">
        <v>77</v>
      </c>
      <c r="N600" t="s">
        <v>153</v>
      </c>
      <c r="O600" t="s">
        <v>74</v>
      </c>
      <c r="P600" t="s">
        <v>74</v>
      </c>
      <c r="Q600" t="s">
        <v>74</v>
      </c>
      <c r="R600" t="s">
        <v>74</v>
      </c>
      <c r="S600" t="s">
        <v>74</v>
      </c>
      <c r="T600" t="s">
        <v>74</v>
      </c>
      <c r="U600" t="s">
        <v>8343</v>
      </c>
      <c r="V600" t="s">
        <v>8344</v>
      </c>
      <c r="W600" t="s">
        <v>8345</v>
      </c>
      <c r="X600" t="s">
        <v>8346</v>
      </c>
      <c r="Y600" t="s">
        <v>8347</v>
      </c>
      <c r="Z600" t="s">
        <v>74</v>
      </c>
      <c r="AA600" t="s">
        <v>8348</v>
      </c>
      <c r="AB600" t="s">
        <v>8349</v>
      </c>
      <c r="AC600" t="s">
        <v>74</v>
      </c>
      <c r="AD600" t="s">
        <v>74</v>
      </c>
      <c r="AE600" t="s">
        <v>74</v>
      </c>
      <c r="AF600" t="s">
        <v>74</v>
      </c>
      <c r="AG600">
        <v>62</v>
      </c>
      <c r="AH600">
        <v>36</v>
      </c>
      <c r="AI600">
        <v>39</v>
      </c>
      <c r="AJ600">
        <v>1</v>
      </c>
      <c r="AK600">
        <v>10</v>
      </c>
      <c r="AL600" t="s">
        <v>1013</v>
      </c>
      <c r="AM600" t="s">
        <v>895</v>
      </c>
      <c r="AN600" t="s">
        <v>1014</v>
      </c>
      <c r="AO600" t="s">
        <v>8184</v>
      </c>
      <c r="AP600" t="s">
        <v>74</v>
      </c>
      <c r="AQ600" t="s">
        <v>74</v>
      </c>
      <c r="AR600" t="s">
        <v>8186</v>
      </c>
      <c r="AS600" t="s">
        <v>8187</v>
      </c>
      <c r="AT600" t="s">
        <v>74</v>
      </c>
      <c r="AU600">
        <v>2002</v>
      </c>
      <c r="AV600">
        <v>49</v>
      </c>
      <c r="AW600" t="s">
        <v>8188</v>
      </c>
      <c r="AX600" t="s">
        <v>74</v>
      </c>
      <c r="AY600" t="s">
        <v>74</v>
      </c>
      <c r="AZ600" t="s">
        <v>74</v>
      </c>
      <c r="BA600" t="s">
        <v>74</v>
      </c>
      <c r="BB600">
        <v>935</v>
      </c>
      <c r="BC600">
        <v>950</v>
      </c>
      <c r="BD600" t="s">
        <v>74</v>
      </c>
      <c r="BE600" t="s">
        <v>8350</v>
      </c>
      <c r="BF600" t="str">
        <f>HYPERLINK("http://dx.doi.org/10.1016/S0967-0645(01)00132-1","http://dx.doi.org/10.1016/S0967-0645(01)00132-1")</f>
        <v>http://dx.doi.org/10.1016/S0967-0645(01)00132-1</v>
      </c>
      <c r="BG600" t="s">
        <v>74</v>
      </c>
      <c r="BH600" t="s">
        <v>74</v>
      </c>
      <c r="BI600">
        <v>16</v>
      </c>
      <c r="BJ600" t="s">
        <v>1155</v>
      </c>
      <c r="BK600" t="s">
        <v>170</v>
      </c>
      <c r="BL600" t="s">
        <v>1155</v>
      </c>
      <c r="BM600" t="s">
        <v>8190</v>
      </c>
      <c r="BN600" t="s">
        <v>74</v>
      </c>
      <c r="BO600" t="s">
        <v>74</v>
      </c>
      <c r="BP600" t="s">
        <v>74</v>
      </c>
      <c r="BQ600" t="s">
        <v>74</v>
      </c>
      <c r="BR600" t="s">
        <v>107</v>
      </c>
      <c r="BS600" t="s">
        <v>8351</v>
      </c>
      <c r="BT600" t="str">
        <f>HYPERLINK("https%3A%2F%2Fwww.webofscience.com%2Fwos%2Fwoscc%2Ffull-record%2FWOS:000173057900021","View Full Record in Web of Science")</f>
        <v>View Full Record in Web of Science</v>
      </c>
    </row>
    <row r="601" spans="1:72" x14ac:dyDescent="0.15">
      <c r="A601" t="s">
        <v>72</v>
      </c>
      <c r="B601" t="s">
        <v>8352</v>
      </c>
      <c r="C601" t="s">
        <v>74</v>
      </c>
      <c r="D601" t="s">
        <v>74</v>
      </c>
      <c r="E601" t="s">
        <v>74</v>
      </c>
      <c r="F601" t="s">
        <v>8352</v>
      </c>
      <c r="G601" t="s">
        <v>74</v>
      </c>
      <c r="H601" t="s">
        <v>74</v>
      </c>
      <c r="I601" t="s">
        <v>8353</v>
      </c>
      <c r="J601" t="s">
        <v>8176</v>
      </c>
      <c r="K601" t="s">
        <v>74</v>
      </c>
      <c r="L601" t="s">
        <v>74</v>
      </c>
      <c r="M601" t="s">
        <v>77</v>
      </c>
      <c r="N601" t="s">
        <v>153</v>
      </c>
      <c r="O601" t="s">
        <v>74</v>
      </c>
      <c r="P601" t="s">
        <v>74</v>
      </c>
      <c r="Q601" t="s">
        <v>74</v>
      </c>
      <c r="R601" t="s">
        <v>74</v>
      </c>
      <c r="S601" t="s">
        <v>74</v>
      </c>
      <c r="T601" t="s">
        <v>74</v>
      </c>
      <c r="U601" t="s">
        <v>74</v>
      </c>
      <c r="V601" t="s">
        <v>8354</v>
      </c>
      <c r="W601" t="s">
        <v>8355</v>
      </c>
      <c r="X601" t="s">
        <v>8356</v>
      </c>
      <c r="Y601" t="s">
        <v>8357</v>
      </c>
      <c r="Z601" t="s">
        <v>8358</v>
      </c>
      <c r="AA601" t="s">
        <v>8359</v>
      </c>
      <c r="AB601" t="s">
        <v>74</v>
      </c>
      <c r="AC601" t="s">
        <v>74</v>
      </c>
      <c r="AD601" t="s">
        <v>74</v>
      </c>
      <c r="AE601" t="s">
        <v>74</v>
      </c>
      <c r="AF601" t="s">
        <v>74</v>
      </c>
      <c r="AG601">
        <v>8</v>
      </c>
      <c r="AH601">
        <v>44</v>
      </c>
      <c r="AI601">
        <v>49</v>
      </c>
      <c r="AJ601">
        <v>0</v>
      </c>
      <c r="AK601">
        <v>12</v>
      </c>
      <c r="AL601" t="s">
        <v>1013</v>
      </c>
      <c r="AM601" t="s">
        <v>895</v>
      </c>
      <c r="AN601" t="s">
        <v>1014</v>
      </c>
      <c r="AO601" t="s">
        <v>8184</v>
      </c>
      <c r="AP601" t="s">
        <v>74</v>
      </c>
      <c r="AQ601" t="s">
        <v>74</v>
      </c>
      <c r="AR601" t="s">
        <v>8186</v>
      </c>
      <c r="AS601" t="s">
        <v>8187</v>
      </c>
      <c r="AT601" t="s">
        <v>74</v>
      </c>
      <c r="AU601">
        <v>2002</v>
      </c>
      <c r="AV601">
        <v>49</v>
      </c>
      <c r="AW601">
        <v>6</v>
      </c>
      <c r="AX601" t="s">
        <v>74</v>
      </c>
      <c r="AY601" t="s">
        <v>74</v>
      </c>
      <c r="AZ601" t="s">
        <v>74</v>
      </c>
      <c r="BA601" t="s">
        <v>74</v>
      </c>
      <c r="BB601">
        <v>1073</v>
      </c>
      <c r="BC601">
        <v>1079</v>
      </c>
      <c r="BD601" t="s">
        <v>8360</v>
      </c>
      <c r="BE601" t="s">
        <v>8361</v>
      </c>
      <c r="BF601" t="str">
        <f>HYPERLINK("http://dx.doi.org/10.1016/S0967-0645(01)00147-3","http://dx.doi.org/10.1016/S0967-0645(01)00147-3")</f>
        <v>http://dx.doi.org/10.1016/S0967-0645(01)00147-3</v>
      </c>
      <c r="BG601" t="s">
        <v>74</v>
      </c>
      <c r="BH601" t="s">
        <v>74</v>
      </c>
      <c r="BI601">
        <v>7</v>
      </c>
      <c r="BJ601" t="s">
        <v>1155</v>
      </c>
      <c r="BK601" t="s">
        <v>170</v>
      </c>
      <c r="BL601" t="s">
        <v>1155</v>
      </c>
      <c r="BM601" t="s">
        <v>8362</v>
      </c>
      <c r="BN601" t="s">
        <v>74</v>
      </c>
      <c r="BO601" t="s">
        <v>74</v>
      </c>
      <c r="BP601" t="s">
        <v>74</v>
      </c>
      <c r="BQ601" t="s">
        <v>74</v>
      </c>
      <c r="BR601" t="s">
        <v>107</v>
      </c>
      <c r="BS601" t="s">
        <v>8363</v>
      </c>
      <c r="BT601" t="str">
        <f>HYPERLINK("https%3A%2F%2Fwww.webofscience.com%2Fwos%2Fwoscc%2Ffull-record%2FWOS:000174965000010","View Full Record in Web of Science")</f>
        <v>View Full Record in Web of Science</v>
      </c>
    </row>
    <row r="602" spans="1:72" x14ac:dyDescent="0.15">
      <c r="A602" t="s">
        <v>72</v>
      </c>
      <c r="B602" t="s">
        <v>8364</v>
      </c>
      <c r="C602" t="s">
        <v>74</v>
      </c>
      <c r="D602" t="s">
        <v>74</v>
      </c>
      <c r="E602" t="s">
        <v>74</v>
      </c>
      <c r="F602" t="s">
        <v>8364</v>
      </c>
      <c r="G602" t="s">
        <v>74</v>
      </c>
      <c r="H602" t="s">
        <v>74</v>
      </c>
      <c r="I602" t="s">
        <v>8365</v>
      </c>
      <c r="J602" t="s">
        <v>8176</v>
      </c>
      <c r="K602" t="s">
        <v>74</v>
      </c>
      <c r="L602" t="s">
        <v>74</v>
      </c>
      <c r="M602" t="s">
        <v>77</v>
      </c>
      <c r="N602" t="s">
        <v>153</v>
      </c>
      <c r="O602" t="s">
        <v>74</v>
      </c>
      <c r="P602" t="s">
        <v>74</v>
      </c>
      <c r="Q602" t="s">
        <v>74</v>
      </c>
      <c r="R602" t="s">
        <v>74</v>
      </c>
      <c r="S602" t="s">
        <v>74</v>
      </c>
      <c r="T602" t="s">
        <v>74</v>
      </c>
      <c r="U602" t="s">
        <v>8366</v>
      </c>
      <c r="V602" t="s">
        <v>8367</v>
      </c>
      <c r="W602" t="s">
        <v>8368</v>
      </c>
      <c r="X602" t="s">
        <v>8369</v>
      </c>
      <c r="Y602" t="s">
        <v>8370</v>
      </c>
      <c r="Z602" t="s">
        <v>8371</v>
      </c>
      <c r="AA602" t="s">
        <v>8372</v>
      </c>
      <c r="AB602" t="s">
        <v>8373</v>
      </c>
      <c r="AC602" t="s">
        <v>74</v>
      </c>
      <c r="AD602" t="s">
        <v>74</v>
      </c>
      <c r="AE602" t="s">
        <v>74</v>
      </c>
      <c r="AF602" t="s">
        <v>74</v>
      </c>
      <c r="AG602">
        <v>48</v>
      </c>
      <c r="AH602">
        <v>41</v>
      </c>
      <c r="AI602">
        <v>43</v>
      </c>
      <c r="AJ602">
        <v>0</v>
      </c>
      <c r="AK602">
        <v>12</v>
      </c>
      <c r="AL602" t="s">
        <v>1013</v>
      </c>
      <c r="AM602" t="s">
        <v>895</v>
      </c>
      <c r="AN602" t="s">
        <v>1014</v>
      </c>
      <c r="AO602" t="s">
        <v>8184</v>
      </c>
      <c r="AP602" t="s">
        <v>8185</v>
      </c>
      <c r="AQ602" t="s">
        <v>74</v>
      </c>
      <c r="AR602" t="s">
        <v>8186</v>
      </c>
      <c r="AS602" t="s">
        <v>8187</v>
      </c>
      <c r="AT602" t="s">
        <v>74</v>
      </c>
      <c r="AU602">
        <v>2002</v>
      </c>
      <c r="AV602">
        <v>49</v>
      </c>
      <c r="AW602" t="s">
        <v>1853</v>
      </c>
      <c r="AX602" t="s">
        <v>74</v>
      </c>
      <c r="AY602" t="s">
        <v>74</v>
      </c>
      <c r="AZ602" t="s">
        <v>74</v>
      </c>
      <c r="BA602" t="s">
        <v>74</v>
      </c>
      <c r="BB602">
        <v>1441</v>
      </c>
      <c r="BC602">
        <v>1457</v>
      </c>
      <c r="BD602" t="s">
        <v>8374</v>
      </c>
      <c r="BE602" t="s">
        <v>8375</v>
      </c>
      <c r="BF602" t="str">
        <f>HYPERLINK("http://dx.doi.org/10.1016/S0967-0645(01)00160-6","http://dx.doi.org/10.1016/S0967-0645(01)00160-6")</f>
        <v>http://dx.doi.org/10.1016/S0967-0645(01)00160-6</v>
      </c>
      <c r="BG602" t="s">
        <v>74</v>
      </c>
      <c r="BH602" t="s">
        <v>74</v>
      </c>
      <c r="BI602">
        <v>17</v>
      </c>
      <c r="BJ602" t="s">
        <v>1155</v>
      </c>
      <c r="BK602" t="s">
        <v>170</v>
      </c>
      <c r="BL602" t="s">
        <v>1155</v>
      </c>
      <c r="BM602" t="s">
        <v>8376</v>
      </c>
      <c r="BN602" t="s">
        <v>74</v>
      </c>
      <c r="BO602" t="s">
        <v>74</v>
      </c>
      <c r="BP602" t="s">
        <v>74</v>
      </c>
      <c r="BQ602" t="s">
        <v>74</v>
      </c>
      <c r="BR602" t="s">
        <v>107</v>
      </c>
      <c r="BS602" t="s">
        <v>8377</v>
      </c>
      <c r="BT602" t="str">
        <f>HYPERLINK("https%3A%2F%2Fwww.webofscience.com%2Fwos%2Fwoscc%2Ffull-record%2FWOS:000175284400015","View Full Record in Web of Science")</f>
        <v>View Full Record in Web of Science</v>
      </c>
    </row>
    <row r="603" spans="1:72" x14ac:dyDescent="0.15">
      <c r="A603" t="s">
        <v>72</v>
      </c>
      <c r="B603" t="s">
        <v>8378</v>
      </c>
      <c r="C603" t="s">
        <v>74</v>
      </c>
      <c r="D603" t="s">
        <v>74</v>
      </c>
      <c r="E603" t="s">
        <v>74</v>
      </c>
      <c r="F603" t="s">
        <v>8378</v>
      </c>
      <c r="G603" t="s">
        <v>74</v>
      </c>
      <c r="H603" t="s">
        <v>74</v>
      </c>
      <c r="I603" t="s">
        <v>8379</v>
      </c>
      <c r="J603" t="s">
        <v>8176</v>
      </c>
      <c r="K603" t="s">
        <v>74</v>
      </c>
      <c r="L603" t="s">
        <v>74</v>
      </c>
      <c r="M603" t="s">
        <v>77</v>
      </c>
      <c r="N603" t="s">
        <v>78</v>
      </c>
      <c r="O603" t="s">
        <v>8380</v>
      </c>
      <c r="P603" t="s">
        <v>8381</v>
      </c>
      <c r="Q603" t="s">
        <v>7942</v>
      </c>
      <c r="R603" t="s">
        <v>74</v>
      </c>
      <c r="S603" t="s">
        <v>74</v>
      </c>
      <c r="T603" t="s">
        <v>74</v>
      </c>
      <c r="U603" t="s">
        <v>8382</v>
      </c>
      <c r="V603" t="s">
        <v>8383</v>
      </c>
      <c r="W603" t="s">
        <v>8384</v>
      </c>
      <c r="X603" t="s">
        <v>8385</v>
      </c>
      <c r="Y603" t="s">
        <v>8386</v>
      </c>
      <c r="Z603" t="s">
        <v>8387</v>
      </c>
      <c r="AA603" t="s">
        <v>8388</v>
      </c>
      <c r="AB603" t="s">
        <v>8389</v>
      </c>
      <c r="AC603" t="s">
        <v>74</v>
      </c>
      <c r="AD603" t="s">
        <v>74</v>
      </c>
      <c r="AE603" t="s">
        <v>74</v>
      </c>
      <c r="AF603" t="s">
        <v>74</v>
      </c>
      <c r="AG603">
        <v>48</v>
      </c>
      <c r="AH603">
        <v>1355</v>
      </c>
      <c r="AI603">
        <v>1503</v>
      </c>
      <c r="AJ603">
        <v>14</v>
      </c>
      <c r="AK603">
        <v>311</v>
      </c>
      <c r="AL603" t="s">
        <v>1013</v>
      </c>
      <c r="AM603" t="s">
        <v>895</v>
      </c>
      <c r="AN603" t="s">
        <v>1014</v>
      </c>
      <c r="AO603" t="s">
        <v>8184</v>
      </c>
      <c r="AP603" t="s">
        <v>8185</v>
      </c>
      <c r="AQ603" t="s">
        <v>74</v>
      </c>
      <c r="AR603" t="s">
        <v>8186</v>
      </c>
      <c r="AS603" t="s">
        <v>8187</v>
      </c>
      <c r="AT603" t="s">
        <v>74</v>
      </c>
      <c r="AU603">
        <v>2002</v>
      </c>
      <c r="AV603">
        <v>49</v>
      </c>
      <c r="AW603" t="s">
        <v>5180</v>
      </c>
      <c r="AX603" t="s">
        <v>74</v>
      </c>
      <c r="AY603" t="s">
        <v>74</v>
      </c>
      <c r="AZ603" t="s">
        <v>74</v>
      </c>
      <c r="BA603" t="s">
        <v>74</v>
      </c>
      <c r="BB603">
        <v>1601</v>
      </c>
      <c r="BC603">
        <v>1622</v>
      </c>
      <c r="BD603" t="s">
        <v>8390</v>
      </c>
      <c r="BE603" t="s">
        <v>8391</v>
      </c>
      <c r="BF603" t="str">
        <f>HYPERLINK("http://dx.doi.org/10.1016/S0967-0645(02)00003-6","http://dx.doi.org/10.1016/S0967-0645(02)00003-6")</f>
        <v>http://dx.doi.org/10.1016/S0967-0645(02)00003-6</v>
      </c>
      <c r="BG603" t="s">
        <v>74</v>
      </c>
      <c r="BH603" t="s">
        <v>74</v>
      </c>
      <c r="BI603">
        <v>22</v>
      </c>
      <c r="BJ603" t="s">
        <v>1155</v>
      </c>
      <c r="BK603" t="s">
        <v>103</v>
      </c>
      <c r="BL603" t="s">
        <v>1155</v>
      </c>
      <c r="BM603" t="s">
        <v>8392</v>
      </c>
      <c r="BN603" t="s">
        <v>74</v>
      </c>
      <c r="BO603" t="s">
        <v>74</v>
      </c>
      <c r="BP603" t="s">
        <v>74</v>
      </c>
      <c r="BQ603" t="s">
        <v>74</v>
      </c>
      <c r="BR603" t="s">
        <v>107</v>
      </c>
      <c r="BS603" t="s">
        <v>8393</v>
      </c>
      <c r="BT603" t="str">
        <f>HYPERLINK("https%3A%2F%2Fwww.webofscience.com%2Fwos%2Fwoscc%2Ffull-record%2FWOS:000175992000002","View Full Record in Web of Science")</f>
        <v>View Full Record in Web of Science</v>
      </c>
    </row>
    <row r="604" spans="1:72" x14ac:dyDescent="0.15">
      <c r="A604" t="s">
        <v>72</v>
      </c>
      <c r="B604" t="s">
        <v>8394</v>
      </c>
      <c r="C604" t="s">
        <v>74</v>
      </c>
      <c r="D604" t="s">
        <v>74</v>
      </c>
      <c r="E604" t="s">
        <v>74</v>
      </c>
      <c r="F604" t="s">
        <v>8394</v>
      </c>
      <c r="G604" t="s">
        <v>74</v>
      </c>
      <c r="H604" t="s">
        <v>74</v>
      </c>
      <c r="I604" t="s">
        <v>8395</v>
      </c>
      <c r="J604" t="s">
        <v>8176</v>
      </c>
      <c r="K604" t="s">
        <v>74</v>
      </c>
      <c r="L604" t="s">
        <v>74</v>
      </c>
      <c r="M604" t="s">
        <v>77</v>
      </c>
      <c r="N604" t="s">
        <v>78</v>
      </c>
      <c r="O604" t="s">
        <v>8380</v>
      </c>
      <c r="P604" t="s">
        <v>8381</v>
      </c>
      <c r="Q604" t="s">
        <v>7942</v>
      </c>
      <c r="R604" t="s">
        <v>74</v>
      </c>
      <c r="S604" t="s">
        <v>74</v>
      </c>
      <c r="T604" t="s">
        <v>74</v>
      </c>
      <c r="U604" t="s">
        <v>8396</v>
      </c>
      <c r="V604" t="s">
        <v>8397</v>
      </c>
      <c r="W604" t="s">
        <v>4825</v>
      </c>
      <c r="X604" t="s">
        <v>2368</v>
      </c>
      <c r="Y604" t="s">
        <v>8398</v>
      </c>
      <c r="Z604" t="s">
        <v>8399</v>
      </c>
      <c r="AA604" t="s">
        <v>74</v>
      </c>
      <c r="AB604" t="s">
        <v>74</v>
      </c>
      <c r="AC604" t="s">
        <v>74</v>
      </c>
      <c r="AD604" t="s">
        <v>74</v>
      </c>
      <c r="AE604" t="s">
        <v>74</v>
      </c>
      <c r="AF604" t="s">
        <v>74</v>
      </c>
      <c r="AG604">
        <v>53</v>
      </c>
      <c r="AH604">
        <v>247</v>
      </c>
      <c r="AI604">
        <v>262</v>
      </c>
      <c r="AJ604">
        <v>4</v>
      </c>
      <c r="AK604">
        <v>42</v>
      </c>
      <c r="AL604" t="s">
        <v>1013</v>
      </c>
      <c r="AM604" t="s">
        <v>895</v>
      </c>
      <c r="AN604" t="s">
        <v>1014</v>
      </c>
      <c r="AO604" t="s">
        <v>8184</v>
      </c>
      <c r="AP604" t="s">
        <v>8185</v>
      </c>
      <c r="AQ604" t="s">
        <v>74</v>
      </c>
      <c r="AR604" t="s">
        <v>8186</v>
      </c>
      <c r="AS604" t="s">
        <v>8187</v>
      </c>
      <c r="AT604" t="s">
        <v>74</v>
      </c>
      <c r="AU604">
        <v>2002</v>
      </c>
      <c r="AV604">
        <v>49</v>
      </c>
      <c r="AW604" t="s">
        <v>5180</v>
      </c>
      <c r="AX604" t="s">
        <v>74</v>
      </c>
      <c r="AY604" t="s">
        <v>74</v>
      </c>
      <c r="AZ604" t="s">
        <v>74</v>
      </c>
      <c r="BA604" t="s">
        <v>74</v>
      </c>
      <c r="BB604">
        <v>1623</v>
      </c>
      <c r="BC604">
        <v>1644</v>
      </c>
      <c r="BD604" t="s">
        <v>8400</v>
      </c>
      <c r="BE604" t="s">
        <v>8401</v>
      </c>
      <c r="BF604" t="str">
        <f>HYPERLINK("http://dx.doi.org/10.1016/S0967-0645(02)00004-8","http://dx.doi.org/10.1016/S0967-0645(02)00004-8")</f>
        <v>http://dx.doi.org/10.1016/S0967-0645(02)00004-8</v>
      </c>
      <c r="BG604" t="s">
        <v>74</v>
      </c>
      <c r="BH604" t="s">
        <v>74</v>
      </c>
      <c r="BI604">
        <v>22</v>
      </c>
      <c r="BJ604" t="s">
        <v>1155</v>
      </c>
      <c r="BK604" t="s">
        <v>103</v>
      </c>
      <c r="BL604" t="s">
        <v>1155</v>
      </c>
      <c r="BM604" t="s">
        <v>8392</v>
      </c>
      <c r="BN604" t="s">
        <v>74</v>
      </c>
      <c r="BO604" t="s">
        <v>106</v>
      </c>
      <c r="BP604" t="s">
        <v>74</v>
      </c>
      <c r="BQ604" t="s">
        <v>74</v>
      </c>
      <c r="BR604" t="s">
        <v>107</v>
      </c>
      <c r="BS604" t="s">
        <v>8402</v>
      </c>
      <c r="BT604" t="str">
        <f>HYPERLINK("https%3A%2F%2Fwww.webofscience.com%2Fwos%2Fwoscc%2Ffull-record%2FWOS:000175992000003","View Full Record in Web of Science")</f>
        <v>View Full Record in Web of Science</v>
      </c>
    </row>
    <row r="605" spans="1:72" x14ac:dyDescent="0.15">
      <c r="A605" t="s">
        <v>72</v>
      </c>
      <c r="B605" t="s">
        <v>8403</v>
      </c>
      <c r="C605" t="s">
        <v>74</v>
      </c>
      <c r="D605" t="s">
        <v>74</v>
      </c>
      <c r="E605" t="s">
        <v>74</v>
      </c>
      <c r="F605" t="s">
        <v>8403</v>
      </c>
      <c r="G605" t="s">
        <v>74</v>
      </c>
      <c r="H605" t="s">
        <v>74</v>
      </c>
      <c r="I605" t="s">
        <v>8404</v>
      </c>
      <c r="J605" t="s">
        <v>8176</v>
      </c>
      <c r="K605" t="s">
        <v>74</v>
      </c>
      <c r="L605" t="s">
        <v>74</v>
      </c>
      <c r="M605" t="s">
        <v>77</v>
      </c>
      <c r="N605" t="s">
        <v>78</v>
      </c>
      <c r="O605" t="s">
        <v>8380</v>
      </c>
      <c r="P605" t="s">
        <v>8381</v>
      </c>
      <c r="Q605" t="s">
        <v>7942</v>
      </c>
      <c r="R605" t="s">
        <v>74</v>
      </c>
      <c r="S605" t="s">
        <v>74</v>
      </c>
      <c r="T605" t="s">
        <v>74</v>
      </c>
      <c r="U605" t="s">
        <v>8405</v>
      </c>
      <c r="V605" t="s">
        <v>8406</v>
      </c>
      <c r="W605" t="s">
        <v>8407</v>
      </c>
      <c r="X605" t="s">
        <v>8408</v>
      </c>
      <c r="Y605" t="s">
        <v>8409</v>
      </c>
      <c r="Z605" t="s">
        <v>8410</v>
      </c>
      <c r="AA605" t="s">
        <v>8411</v>
      </c>
      <c r="AB605" t="s">
        <v>8412</v>
      </c>
      <c r="AC605" t="s">
        <v>74</v>
      </c>
      <c r="AD605" t="s">
        <v>74</v>
      </c>
      <c r="AE605" t="s">
        <v>74</v>
      </c>
      <c r="AF605" t="s">
        <v>74</v>
      </c>
      <c r="AG605">
        <v>93</v>
      </c>
      <c r="AH605">
        <v>121</v>
      </c>
      <c r="AI605">
        <v>139</v>
      </c>
      <c r="AJ605">
        <v>0</v>
      </c>
      <c r="AK605">
        <v>31</v>
      </c>
      <c r="AL605" t="s">
        <v>1013</v>
      </c>
      <c r="AM605" t="s">
        <v>895</v>
      </c>
      <c r="AN605" t="s">
        <v>1014</v>
      </c>
      <c r="AO605" t="s">
        <v>8184</v>
      </c>
      <c r="AP605" t="s">
        <v>8185</v>
      </c>
      <c r="AQ605" t="s">
        <v>74</v>
      </c>
      <c r="AR605" t="s">
        <v>8186</v>
      </c>
      <c r="AS605" t="s">
        <v>8187</v>
      </c>
      <c r="AT605" t="s">
        <v>74</v>
      </c>
      <c r="AU605">
        <v>2002</v>
      </c>
      <c r="AV605">
        <v>49</v>
      </c>
      <c r="AW605" t="s">
        <v>5180</v>
      </c>
      <c r="AX605" t="s">
        <v>74</v>
      </c>
      <c r="AY605" t="s">
        <v>74</v>
      </c>
      <c r="AZ605" t="s">
        <v>74</v>
      </c>
      <c r="BA605" t="s">
        <v>74</v>
      </c>
      <c r="BB605">
        <v>1645</v>
      </c>
      <c r="BC605">
        <v>1674</v>
      </c>
      <c r="BD605" t="s">
        <v>8413</v>
      </c>
      <c r="BE605" t="s">
        <v>8414</v>
      </c>
      <c r="BF605" t="str">
        <f>HYPERLINK("http://dx.doi.org/10.1016/S0967-0645(02)00005-X","http://dx.doi.org/10.1016/S0967-0645(02)00005-X")</f>
        <v>http://dx.doi.org/10.1016/S0967-0645(02)00005-X</v>
      </c>
      <c r="BG605" t="s">
        <v>74</v>
      </c>
      <c r="BH605" t="s">
        <v>74</v>
      </c>
      <c r="BI605">
        <v>30</v>
      </c>
      <c r="BJ605" t="s">
        <v>1155</v>
      </c>
      <c r="BK605" t="s">
        <v>103</v>
      </c>
      <c r="BL605" t="s">
        <v>1155</v>
      </c>
      <c r="BM605" t="s">
        <v>8392</v>
      </c>
      <c r="BN605" t="s">
        <v>74</v>
      </c>
      <c r="BO605" t="s">
        <v>74</v>
      </c>
      <c r="BP605" t="s">
        <v>74</v>
      </c>
      <c r="BQ605" t="s">
        <v>74</v>
      </c>
      <c r="BR605" t="s">
        <v>107</v>
      </c>
      <c r="BS605" t="s">
        <v>8415</v>
      </c>
      <c r="BT605" t="str">
        <f>HYPERLINK("https%3A%2F%2Fwww.webofscience.com%2Fwos%2Fwoscc%2Ffull-record%2FWOS:000175992000004","View Full Record in Web of Science")</f>
        <v>View Full Record in Web of Science</v>
      </c>
    </row>
    <row r="606" spans="1:72" x14ac:dyDescent="0.15">
      <c r="A606" t="s">
        <v>72</v>
      </c>
      <c r="B606" t="s">
        <v>8416</v>
      </c>
      <c r="C606" t="s">
        <v>74</v>
      </c>
      <c r="D606" t="s">
        <v>74</v>
      </c>
      <c r="E606" t="s">
        <v>74</v>
      </c>
      <c r="F606" t="s">
        <v>8416</v>
      </c>
      <c r="G606" t="s">
        <v>74</v>
      </c>
      <c r="H606" t="s">
        <v>74</v>
      </c>
      <c r="I606" t="s">
        <v>8417</v>
      </c>
      <c r="J606" t="s">
        <v>8176</v>
      </c>
      <c r="K606" t="s">
        <v>74</v>
      </c>
      <c r="L606" t="s">
        <v>74</v>
      </c>
      <c r="M606" t="s">
        <v>77</v>
      </c>
      <c r="N606" t="s">
        <v>78</v>
      </c>
      <c r="O606" t="s">
        <v>8380</v>
      </c>
      <c r="P606" t="s">
        <v>8381</v>
      </c>
      <c r="Q606" t="s">
        <v>7942</v>
      </c>
      <c r="R606" t="s">
        <v>74</v>
      </c>
      <c r="S606" t="s">
        <v>74</v>
      </c>
      <c r="T606" t="s">
        <v>74</v>
      </c>
      <c r="U606" t="s">
        <v>8418</v>
      </c>
      <c r="V606" t="s">
        <v>8419</v>
      </c>
      <c r="W606" t="s">
        <v>8420</v>
      </c>
      <c r="X606" t="s">
        <v>8421</v>
      </c>
      <c r="Y606" t="s">
        <v>8422</v>
      </c>
      <c r="Z606" t="s">
        <v>74</v>
      </c>
      <c r="AA606" t="s">
        <v>8423</v>
      </c>
      <c r="AB606" t="s">
        <v>8424</v>
      </c>
      <c r="AC606" t="s">
        <v>74</v>
      </c>
      <c r="AD606" t="s">
        <v>74</v>
      </c>
      <c r="AE606" t="s">
        <v>74</v>
      </c>
      <c r="AF606" t="s">
        <v>74</v>
      </c>
      <c r="AG606">
        <v>55</v>
      </c>
      <c r="AH606">
        <v>18</v>
      </c>
      <c r="AI606">
        <v>19</v>
      </c>
      <c r="AJ606">
        <v>0</v>
      </c>
      <c r="AK606">
        <v>12</v>
      </c>
      <c r="AL606" t="s">
        <v>1013</v>
      </c>
      <c r="AM606" t="s">
        <v>895</v>
      </c>
      <c r="AN606" t="s">
        <v>1014</v>
      </c>
      <c r="AO606" t="s">
        <v>8184</v>
      </c>
      <c r="AP606" t="s">
        <v>74</v>
      </c>
      <c r="AQ606" t="s">
        <v>74</v>
      </c>
      <c r="AR606" t="s">
        <v>8186</v>
      </c>
      <c r="AS606" t="s">
        <v>8187</v>
      </c>
      <c r="AT606" t="s">
        <v>74</v>
      </c>
      <c r="AU606">
        <v>2002</v>
      </c>
      <c r="AV606">
        <v>49</v>
      </c>
      <c r="AW606" t="s">
        <v>5180</v>
      </c>
      <c r="AX606" t="s">
        <v>74</v>
      </c>
      <c r="AY606" t="s">
        <v>74</v>
      </c>
      <c r="AZ606" t="s">
        <v>74</v>
      </c>
      <c r="BA606" t="s">
        <v>74</v>
      </c>
      <c r="BB606">
        <v>1707</v>
      </c>
      <c r="BC606">
        <v>1720</v>
      </c>
      <c r="BD606" t="s">
        <v>8425</v>
      </c>
      <c r="BE606" t="s">
        <v>8426</v>
      </c>
      <c r="BF606" t="str">
        <f>HYPERLINK("http://dx.doi.org/10.1016/S0967-0645(02)00008-5","http://dx.doi.org/10.1016/S0967-0645(02)00008-5")</f>
        <v>http://dx.doi.org/10.1016/S0967-0645(02)00008-5</v>
      </c>
      <c r="BG606" t="s">
        <v>74</v>
      </c>
      <c r="BH606" t="s">
        <v>74</v>
      </c>
      <c r="BI606">
        <v>14</v>
      </c>
      <c r="BJ606" t="s">
        <v>1155</v>
      </c>
      <c r="BK606" t="s">
        <v>744</v>
      </c>
      <c r="BL606" t="s">
        <v>1155</v>
      </c>
      <c r="BM606" t="s">
        <v>8392</v>
      </c>
      <c r="BN606" t="s">
        <v>74</v>
      </c>
      <c r="BO606" t="s">
        <v>74</v>
      </c>
      <c r="BP606" t="s">
        <v>74</v>
      </c>
      <c r="BQ606" t="s">
        <v>74</v>
      </c>
      <c r="BR606" t="s">
        <v>107</v>
      </c>
      <c r="BS606" t="s">
        <v>8427</v>
      </c>
      <c r="BT606" t="str">
        <f>HYPERLINK("https%3A%2F%2Fwww.webofscience.com%2Fwos%2Fwoscc%2Ffull-record%2FWOS:000175992000007","View Full Record in Web of Science")</f>
        <v>View Full Record in Web of Science</v>
      </c>
    </row>
    <row r="607" spans="1:72" x14ac:dyDescent="0.15">
      <c r="A607" t="s">
        <v>72</v>
      </c>
      <c r="B607" t="s">
        <v>8428</v>
      </c>
      <c r="C607" t="s">
        <v>74</v>
      </c>
      <c r="D607" t="s">
        <v>74</v>
      </c>
      <c r="E607" t="s">
        <v>74</v>
      </c>
      <c r="F607" t="s">
        <v>8428</v>
      </c>
      <c r="G607" t="s">
        <v>74</v>
      </c>
      <c r="H607" t="s">
        <v>74</v>
      </c>
      <c r="I607" t="s">
        <v>8429</v>
      </c>
      <c r="J607" t="s">
        <v>8176</v>
      </c>
      <c r="K607" t="s">
        <v>74</v>
      </c>
      <c r="L607" t="s">
        <v>74</v>
      </c>
      <c r="M607" t="s">
        <v>77</v>
      </c>
      <c r="N607" t="s">
        <v>78</v>
      </c>
      <c r="O607" t="s">
        <v>8380</v>
      </c>
      <c r="P607" t="s">
        <v>8381</v>
      </c>
      <c r="Q607" t="s">
        <v>7942</v>
      </c>
      <c r="R607" t="s">
        <v>74</v>
      </c>
      <c r="S607" t="s">
        <v>74</v>
      </c>
      <c r="T607" t="s">
        <v>74</v>
      </c>
      <c r="U607" t="s">
        <v>8430</v>
      </c>
      <c r="V607" t="s">
        <v>8431</v>
      </c>
      <c r="W607" t="s">
        <v>8432</v>
      </c>
      <c r="X607" t="s">
        <v>8433</v>
      </c>
      <c r="Y607" t="s">
        <v>8434</v>
      </c>
      <c r="Z607" t="s">
        <v>74</v>
      </c>
      <c r="AA607" t="s">
        <v>8435</v>
      </c>
      <c r="AB607" t="s">
        <v>8436</v>
      </c>
      <c r="AC607" t="s">
        <v>74</v>
      </c>
      <c r="AD607" t="s">
        <v>74</v>
      </c>
      <c r="AE607" t="s">
        <v>74</v>
      </c>
      <c r="AF607" t="s">
        <v>74</v>
      </c>
      <c r="AG607">
        <v>61</v>
      </c>
      <c r="AH607">
        <v>63</v>
      </c>
      <c r="AI607">
        <v>67</v>
      </c>
      <c r="AJ607">
        <v>1</v>
      </c>
      <c r="AK607">
        <v>14</v>
      </c>
      <c r="AL607" t="s">
        <v>1013</v>
      </c>
      <c r="AM607" t="s">
        <v>895</v>
      </c>
      <c r="AN607" t="s">
        <v>1014</v>
      </c>
      <c r="AO607" t="s">
        <v>8184</v>
      </c>
      <c r="AP607" t="s">
        <v>74</v>
      </c>
      <c r="AQ607" t="s">
        <v>74</v>
      </c>
      <c r="AR607" t="s">
        <v>8186</v>
      </c>
      <c r="AS607" t="s">
        <v>8187</v>
      </c>
      <c r="AT607" t="s">
        <v>74</v>
      </c>
      <c r="AU607">
        <v>2002</v>
      </c>
      <c r="AV607">
        <v>49</v>
      </c>
      <c r="AW607" t="s">
        <v>5180</v>
      </c>
      <c r="AX607" t="s">
        <v>74</v>
      </c>
      <c r="AY607" t="s">
        <v>74</v>
      </c>
      <c r="AZ607" t="s">
        <v>74</v>
      </c>
      <c r="BA607" t="s">
        <v>74</v>
      </c>
      <c r="BB607">
        <v>1721</v>
      </c>
      <c r="BC607">
        <v>1745</v>
      </c>
      <c r="BD607" t="s">
        <v>8437</v>
      </c>
      <c r="BE607" t="s">
        <v>8438</v>
      </c>
      <c r="BF607" t="str">
        <f>HYPERLINK("http://dx.doi.org/10.1016/S0967-0645(02)00009-7","http://dx.doi.org/10.1016/S0967-0645(02)00009-7")</f>
        <v>http://dx.doi.org/10.1016/S0967-0645(02)00009-7</v>
      </c>
      <c r="BG607" t="s">
        <v>74</v>
      </c>
      <c r="BH607" t="s">
        <v>74</v>
      </c>
      <c r="BI607">
        <v>25</v>
      </c>
      <c r="BJ607" t="s">
        <v>1155</v>
      </c>
      <c r="BK607" t="s">
        <v>744</v>
      </c>
      <c r="BL607" t="s">
        <v>1155</v>
      </c>
      <c r="BM607" t="s">
        <v>8392</v>
      </c>
      <c r="BN607" t="s">
        <v>74</v>
      </c>
      <c r="BO607" t="s">
        <v>74</v>
      </c>
      <c r="BP607" t="s">
        <v>74</v>
      </c>
      <c r="BQ607" t="s">
        <v>74</v>
      </c>
      <c r="BR607" t="s">
        <v>107</v>
      </c>
      <c r="BS607" t="s">
        <v>8439</v>
      </c>
      <c r="BT607" t="str">
        <f>HYPERLINK("https%3A%2F%2Fwww.webofscience.com%2Fwos%2Fwoscc%2Ffull-record%2FWOS:000175992000008","View Full Record in Web of Science")</f>
        <v>View Full Record in Web of Science</v>
      </c>
    </row>
    <row r="608" spans="1:72" x14ac:dyDescent="0.15">
      <c r="A608" t="s">
        <v>72</v>
      </c>
      <c r="B608" t="s">
        <v>8440</v>
      </c>
      <c r="C608" t="s">
        <v>74</v>
      </c>
      <c r="D608" t="s">
        <v>74</v>
      </c>
      <c r="E608" t="s">
        <v>74</v>
      </c>
      <c r="F608" t="s">
        <v>8440</v>
      </c>
      <c r="G608" t="s">
        <v>74</v>
      </c>
      <c r="H608" t="s">
        <v>74</v>
      </c>
      <c r="I608" t="s">
        <v>8441</v>
      </c>
      <c r="J608" t="s">
        <v>8176</v>
      </c>
      <c r="K608" t="s">
        <v>74</v>
      </c>
      <c r="L608" t="s">
        <v>74</v>
      </c>
      <c r="M608" t="s">
        <v>77</v>
      </c>
      <c r="N608" t="s">
        <v>78</v>
      </c>
      <c r="O608" t="s">
        <v>8380</v>
      </c>
      <c r="P608" t="s">
        <v>8381</v>
      </c>
      <c r="Q608" t="s">
        <v>7942</v>
      </c>
      <c r="R608" t="s">
        <v>74</v>
      </c>
      <c r="S608" t="s">
        <v>74</v>
      </c>
      <c r="T608" t="s">
        <v>74</v>
      </c>
      <c r="U608" t="s">
        <v>8442</v>
      </c>
      <c r="V608" t="s">
        <v>8443</v>
      </c>
      <c r="W608" t="s">
        <v>8444</v>
      </c>
      <c r="X608" t="s">
        <v>8445</v>
      </c>
      <c r="Y608" t="s">
        <v>8409</v>
      </c>
      <c r="Z608" t="s">
        <v>8410</v>
      </c>
      <c r="AA608" t="s">
        <v>74</v>
      </c>
      <c r="AB608" t="s">
        <v>74</v>
      </c>
      <c r="AC608" t="s">
        <v>74</v>
      </c>
      <c r="AD608" t="s">
        <v>74</v>
      </c>
      <c r="AE608" t="s">
        <v>74</v>
      </c>
      <c r="AF608" t="s">
        <v>74</v>
      </c>
      <c r="AG608">
        <v>34</v>
      </c>
      <c r="AH608">
        <v>35</v>
      </c>
      <c r="AI608">
        <v>44</v>
      </c>
      <c r="AJ608">
        <v>1</v>
      </c>
      <c r="AK608">
        <v>5</v>
      </c>
      <c r="AL608" t="s">
        <v>1013</v>
      </c>
      <c r="AM608" t="s">
        <v>895</v>
      </c>
      <c r="AN608" t="s">
        <v>1014</v>
      </c>
      <c r="AO608" t="s">
        <v>8184</v>
      </c>
      <c r="AP608" t="s">
        <v>8185</v>
      </c>
      <c r="AQ608" t="s">
        <v>74</v>
      </c>
      <c r="AR608" t="s">
        <v>8186</v>
      </c>
      <c r="AS608" t="s">
        <v>8187</v>
      </c>
      <c r="AT608" t="s">
        <v>74</v>
      </c>
      <c r="AU608">
        <v>2002</v>
      </c>
      <c r="AV608">
        <v>49</v>
      </c>
      <c r="AW608" t="s">
        <v>5180</v>
      </c>
      <c r="AX608" t="s">
        <v>74</v>
      </c>
      <c r="AY608" t="s">
        <v>74</v>
      </c>
      <c r="AZ608" t="s">
        <v>74</v>
      </c>
      <c r="BA608" t="s">
        <v>74</v>
      </c>
      <c r="BB608">
        <v>1747</v>
      </c>
      <c r="BC608">
        <v>1763</v>
      </c>
      <c r="BD608" t="s">
        <v>8446</v>
      </c>
      <c r="BE608" t="s">
        <v>8447</v>
      </c>
      <c r="BF608" t="str">
        <f>HYPERLINK("http://dx.doi.org/10.1016/S0967-0645(02)00010-3","http://dx.doi.org/10.1016/S0967-0645(02)00010-3")</f>
        <v>http://dx.doi.org/10.1016/S0967-0645(02)00010-3</v>
      </c>
      <c r="BG608" t="s">
        <v>74</v>
      </c>
      <c r="BH608" t="s">
        <v>74</v>
      </c>
      <c r="BI608">
        <v>17</v>
      </c>
      <c r="BJ608" t="s">
        <v>1155</v>
      </c>
      <c r="BK608" t="s">
        <v>103</v>
      </c>
      <c r="BL608" t="s">
        <v>1155</v>
      </c>
      <c r="BM608" t="s">
        <v>8392</v>
      </c>
      <c r="BN608" t="s">
        <v>74</v>
      </c>
      <c r="BO608" t="s">
        <v>74</v>
      </c>
      <c r="BP608" t="s">
        <v>74</v>
      </c>
      <c r="BQ608" t="s">
        <v>74</v>
      </c>
      <c r="BR608" t="s">
        <v>107</v>
      </c>
      <c r="BS608" t="s">
        <v>8448</v>
      </c>
      <c r="BT608" t="str">
        <f>HYPERLINK("https%3A%2F%2Fwww.webofscience.com%2Fwos%2Fwoscc%2Ffull-record%2FWOS:000175992000009","View Full Record in Web of Science")</f>
        <v>View Full Record in Web of Science</v>
      </c>
    </row>
    <row r="609" spans="1:72" x14ac:dyDescent="0.15">
      <c r="A609" t="s">
        <v>72</v>
      </c>
      <c r="B609" t="s">
        <v>8449</v>
      </c>
      <c r="C609" t="s">
        <v>74</v>
      </c>
      <c r="D609" t="s">
        <v>74</v>
      </c>
      <c r="E609" t="s">
        <v>74</v>
      </c>
      <c r="F609" t="s">
        <v>8449</v>
      </c>
      <c r="G609" t="s">
        <v>74</v>
      </c>
      <c r="H609" t="s">
        <v>74</v>
      </c>
      <c r="I609" t="s">
        <v>8450</v>
      </c>
      <c r="J609" t="s">
        <v>8176</v>
      </c>
      <c r="K609" t="s">
        <v>74</v>
      </c>
      <c r="L609" t="s">
        <v>74</v>
      </c>
      <c r="M609" t="s">
        <v>77</v>
      </c>
      <c r="N609" t="s">
        <v>78</v>
      </c>
      <c r="O609" t="s">
        <v>8380</v>
      </c>
      <c r="P609" t="s">
        <v>8381</v>
      </c>
      <c r="Q609" t="s">
        <v>7942</v>
      </c>
      <c r="R609" t="s">
        <v>74</v>
      </c>
      <c r="S609" t="s">
        <v>74</v>
      </c>
      <c r="T609" t="s">
        <v>74</v>
      </c>
      <c r="U609" t="s">
        <v>8451</v>
      </c>
      <c r="V609" t="s">
        <v>8452</v>
      </c>
      <c r="W609" t="s">
        <v>8453</v>
      </c>
      <c r="X609" t="s">
        <v>8454</v>
      </c>
      <c r="Y609" t="s">
        <v>8455</v>
      </c>
      <c r="Z609" t="s">
        <v>74</v>
      </c>
      <c r="AA609" t="s">
        <v>8456</v>
      </c>
      <c r="AB609" t="s">
        <v>8457</v>
      </c>
      <c r="AC609" t="s">
        <v>74</v>
      </c>
      <c r="AD609" t="s">
        <v>74</v>
      </c>
      <c r="AE609" t="s">
        <v>74</v>
      </c>
      <c r="AF609" t="s">
        <v>74</v>
      </c>
      <c r="AG609">
        <v>44</v>
      </c>
      <c r="AH609">
        <v>34</v>
      </c>
      <c r="AI609">
        <v>37</v>
      </c>
      <c r="AJ609">
        <v>0</v>
      </c>
      <c r="AK609">
        <v>16</v>
      </c>
      <c r="AL609" t="s">
        <v>1013</v>
      </c>
      <c r="AM609" t="s">
        <v>895</v>
      </c>
      <c r="AN609" t="s">
        <v>1014</v>
      </c>
      <c r="AO609" t="s">
        <v>8184</v>
      </c>
      <c r="AP609" t="s">
        <v>74</v>
      </c>
      <c r="AQ609" t="s">
        <v>74</v>
      </c>
      <c r="AR609" t="s">
        <v>8186</v>
      </c>
      <c r="AS609" t="s">
        <v>8187</v>
      </c>
      <c r="AT609" t="s">
        <v>74</v>
      </c>
      <c r="AU609">
        <v>2002</v>
      </c>
      <c r="AV609">
        <v>49</v>
      </c>
      <c r="AW609" t="s">
        <v>5180</v>
      </c>
      <c r="AX609" t="s">
        <v>74</v>
      </c>
      <c r="AY609" t="s">
        <v>74</v>
      </c>
      <c r="AZ609" t="s">
        <v>74</v>
      </c>
      <c r="BA609" t="s">
        <v>74</v>
      </c>
      <c r="BB609">
        <v>1765</v>
      </c>
      <c r="BC609">
        <v>1786</v>
      </c>
      <c r="BD609" t="s">
        <v>8458</v>
      </c>
      <c r="BE609" t="s">
        <v>8459</v>
      </c>
      <c r="BF609" t="str">
        <f>HYPERLINK("http://dx.doi.org/10.1016/S0967-0645(02)00011-5","http://dx.doi.org/10.1016/S0967-0645(02)00011-5")</f>
        <v>http://dx.doi.org/10.1016/S0967-0645(02)00011-5</v>
      </c>
      <c r="BG609" t="s">
        <v>74</v>
      </c>
      <c r="BH609" t="s">
        <v>74</v>
      </c>
      <c r="BI609">
        <v>22</v>
      </c>
      <c r="BJ609" t="s">
        <v>1155</v>
      </c>
      <c r="BK609" t="s">
        <v>744</v>
      </c>
      <c r="BL609" t="s">
        <v>1155</v>
      </c>
      <c r="BM609" t="s">
        <v>8392</v>
      </c>
      <c r="BN609" t="s">
        <v>74</v>
      </c>
      <c r="BO609" t="s">
        <v>74</v>
      </c>
      <c r="BP609" t="s">
        <v>74</v>
      </c>
      <c r="BQ609" t="s">
        <v>74</v>
      </c>
      <c r="BR609" t="s">
        <v>107</v>
      </c>
      <c r="BS609" t="s">
        <v>8460</v>
      </c>
      <c r="BT609" t="str">
        <f>HYPERLINK("https%3A%2F%2Fwww.webofscience.com%2Fwos%2Fwoscc%2Ffull-record%2FWOS:000175992000010","View Full Record in Web of Science")</f>
        <v>View Full Record in Web of Science</v>
      </c>
    </row>
    <row r="610" spans="1:72" x14ac:dyDescent="0.15">
      <c r="A610" t="s">
        <v>72</v>
      </c>
      <c r="B610" t="s">
        <v>8461</v>
      </c>
      <c r="C610" t="s">
        <v>74</v>
      </c>
      <c r="D610" t="s">
        <v>74</v>
      </c>
      <c r="E610" t="s">
        <v>74</v>
      </c>
      <c r="F610" t="s">
        <v>8461</v>
      </c>
      <c r="G610" t="s">
        <v>74</v>
      </c>
      <c r="H610" t="s">
        <v>74</v>
      </c>
      <c r="I610" t="s">
        <v>8462</v>
      </c>
      <c r="J610" t="s">
        <v>8176</v>
      </c>
      <c r="K610" t="s">
        <v>74</v>
      </c>
      <c r="L610" t="s">
        <v>74</v>
      </c>
      <c r="M610" t="s">
        <v>77</v>
      </c>
      <c r="N610" t="s">
        <v>78</v>
      </c>
      <c r="O610" t="s">
        <v>8380</v>
      </c>
      <c r="P610" t="s">
        <v>8381</v>
      </c>
      <c r="Q610" t="s">
        <v>7942</v>
      </c>
      <c r="R610" t="s">
        <v>74</v>
      </c>
      <c r="S610" t="s">
        <v>74</v>
      </c>
      <c r="T610" t="s">
        <v>74</v>
      </c>
      <c r="U610" t="s">
        <v>8463</v>
      </c>
      <c r="V610" t="s">
        <v>8464</v>
      </c>
      <c r="W610" t="s">
        <v>8465</v>
      </c>
      <c r="X610" t="s">
        <v>8466</v>
      </c>
      <c r="Y610" t="s">
        <v>8467</v>
      </c>
      <c r="Z610" t="s">
        <v>8468</v>
      </c>
      <c r="AA610" t="s">
        <v>74</v>
      </c>
      <c r="AB610" t="s">
        <v>74</v>
      </c>
      <c r="AC610" t="s">
        <v>74</v>
      </c>
      <c r="AD610" t="s">
        <v>74</v>
      </c>
      <c r="AE610" t="s">
        <v>74</v>
      </c>
      <c r="AF610" t="s">
        <v>74</v>
      </c>
      <c r="AG610">
        <v>38</v>
      </c>
      <c r="AH610">
        <v>45</v>
      </c>
      <c r="AI610">
        <v>48</v>
      </c>
      <c r="AJ610">
        <v>0</v>
      </c>
      <c r="AK610">
        <v>8</v>
      </c>
      <c r="AL610" t="s">
        <v>1013</v>
      </c>
      <c r="AM610" t="s">
        <v>895</v>
      </c>
      <c r="AN610" t="s">
        <v>1014</v>
      </c>
      <c r="AO610" t="s">
        <v>8184</v>
      </c>
      <c r="AP610" t="s">
        <v>74</v>
      </c>
      <c r="AQ610" t="s">
        <v>74</v>
      </c>
      <c r="AR610" t="s">
        <v>8186</v>
      </c>
      <c r="AS610" t="s">
        <v>8187</v>
      </c>
      <c r="AT610" t="s">
        <v>74</v>
      </c>
      <c r="AU610">
        <v>2002</v>
      </c>
      <c r="AV610">
        <v>49</v>
      </c>
      <c r="AW610" t="s">
        <v>5180</v>
      </c>
      <c r="AX610" t="s">
        <v>74</v>
      </c>
      <c r="AY610" t="s">
        <v>74</v>
      </c>
      <c r="AZ610" t="s">
        <v>74</v>
      </c>
      <c r="BA610" t="s">
        <v>74</v>
      </c>
      <c r="BB610">
        <v>1787</v>
      </c>
      <c r="BC610">
        <v>1801</v>
      </c>
      <c r="BD610" t="s">
        <v>8469</v>
      </c>
      <c r="BE610" t="s">
        <v>8470</v>
      </c>
      <c r="BF610" t="str">
        <f>HYPERLINK("http://dx.doi.org/10.1016/S0967-0645(02)00012-7","http://dx.doi.org/10.1016/S0967-0645(02)00012-7")</f>
        <v>http://dx.doi.org/10.1016/S0967-0645(02)00012-7</v>
      </c>
      <c r="BG610" t="s">
        <v>74</v>
      </c>
      <c r="BH610" t="s">
        <v>74</v>
      </c>
      <c r="BI610">
        <v>15</v>
      </c>
      <c r="BJ610" t="s">
        <v>1155</v>
      </c>
      <c r="BK610" t="s">
        <v>744</v>
      </c>
      <c r="BL610" t="s">
        <v>1155</v>
      </c>
      <c r="BM610" t="s">
        <v>8392</v>
      </c>
      <c r="BN610" t="s">
        <v>74</v>
      </c>
      <c r="BO610" t="s">
        <v>74</v>
      </c>
      <c r="BP610" t="s">
        <v>74</v>
      </c>
      <c r="BQ610" t="s">
        <v>74</v>
      </c>
      <c r="BR610" t="s">
        <v>107</v>
      </c>
      <c r="BS610" t="s">
        <v>8471</v>
      </c>
      <c r="BT610" t="str">
        <f>HYPERLINK("https%3A%2F%2Fwww.webofscience.com%2Fwos%2Fwoscc%2Ffull-record%2FWOS:000175992000011","View Full Record in Web of Science")</f>
        <v>View Full Record in Web of Science</v>
      </c>
    </row>
    <row r="611" spans="1:72" x14ac:dyDescent="0.15">
      <c r="A611" t="s">
        <v>72</v>
      </c>
      <c r="B611" t="s">
        <v>8472</v>
      </c>
      <c r="C611" t="s">
        <v>74</v>
      </c>
      <c r="D611" t="s">
        <v>74</v>
      </c>
      <c r="E611" t="s">
        <v>74</v>
      </c>
      <c r="F611" t="s">
        <v>8472</v>
      </c>
      <c r="G611" t="s">
        <v>74</v>
      </c>
      <c r="H611" t="s">
        <v>74</v>
      </c>
      <c r="I611" t="s">
        <v>8473</v>
      </c>
      <c r="J611" t="s">
        <v>8176</v>
      </c>
      <c r="K611" t="s">
        <v>74</v>
      </c>
      <c r="L611" t="s">
        <v>74</v>
      </c>
      <c r="M611" t="s">
        <v>77</v>
      </c>
      <c r="N611" t="s">
        <v>78</v>
      </c>
      <c r="O611" t="s">
        <v>8380</v>
      </c>
      <c r="P611" t="s">
        <v>8381</v>
      </c>
      <c r="Q611" t="s">
        <v>7942</v>
      </c>
      <c r="R611" t="s">
        <v>74</v>
      </c>
      <c r="S611" t="s">
        <v>74</v>
      </c>
      <c r="T611" t="s">
        <v>74</v>
      </c>
      <c r="U611" t="s">
        <v>8474</v>
      </c>
      <c r="V611" t="s">
        <v>8475</v>
      </c>
      <c r="W611" t="s">
        <v>8476</v>
      </c>
      <c r="X611" t="s">
        <v>8477</v>
      </c>
      <c r="Y611" t="s">
        <v>8478</v>
      </c>
      <c r="Z611" t="s">
        <v>74</v>
      </c>
      <c r="AA611" t="s">
        <v>74</v>
      </c>
      <c r="AB611" t="s">
        <v>74</v>
      </c>
      <c r="AC611" t="s">
        <v>74</v>
      </c>
      <c r="AD611" t="s">
        <v>74</v>
      </c>
      <c r="AE611" t="s">
        <v>74</v>
      </c>
      <c r="AF611" t="s">
        <v>74</v>
      </c>
      <c r="AG611">
        <v>26</v>
      </c>
      <c r="AH611">
        <v>39</v>
      </c>
      <c r="AI611">
        <v>43</v>
      </c>
      <c r="AJ611">
        <v>0</v>
      </c>
      <c r="AK611">
        <v>3</v>
      </c>
      <c r="AL611" t="s">
        <v>1013</v>
      </c>
      <c r="AM611" t="s">
        <v>895</v>
      </c>
      <c r="AN611" t="s">
        <v>1014</v>
      </c>
      <c r="AO611" t="s">
        <v>8184</v>
      </c>
      <c r="AP611" t="s">
        <v>74</v>
      </c>
      <c r="AQ611" t="s">
        <v>74</v>
      </c>
      <c r="AR611" t="s">
        <v>8186</v>
      </c>
      <c r="AS611" t="s">
        <v>8187</v>
      </c>
      <c r="AT611" t="s">
        <v>74</v>
      </c>
      <c r="AU611">
        <v>2002</v>
      </c>
      <c r="AV611">
        <v>49</v>
      </c>
      <c r="AW611" t="s">
        <v>5180</v>
      </c>
      <c r="AX611" t="s">
        <v>74</v>
      </c>
      <c r="AY611" t="s">
        <v>74</v>
      </c>
      <c r="AZ611" t="s">
        <v>74</v>
      </c>
      <c r="BA611" t="s">
        <v>74</v>
      </c>
      <c r="BB611">
        <v>1823</v>
      </c>
      <c r="BC611">
        <v>1842</v>
      </c>
      <c r="BD611" t="s">
        <v>8479</v>
      </c>
      <c r="BE611" t="s">
        <v>8480</v>
      </c>
      <c r="BF611" t="str">
        <f>HYPERLINK("http://dx.doi.org/10.1016/S0967-0645(02)00014-0","http://dx.doi.org/10.1016/S0967-0645(02)00014-0")</f>
        <v>http://dx.doi.org/10.1016/S0967-0645(02)00014-0</v>
      </c>
      <c r="BG611" t="s">
        <v>74</v>
      </c>
      <c r="BH611" t="s">
        <v>74</v>
      </c>
      <c r="BI611">
        <v>20</v>
      </c>
      <c r="BJ611" t="s">
        <v>1155</v>
      </c>
      <c r="BK611" t="s">
        <v>744</v>
      </c>
      <c r="BL611" t="s">
        <v>1155</v>
      </c>
      <c r="BM611" t="s">
        <v>8392</v>
      </c>
      <c r="BN611" t="s">
        <v>74</v>
      </c>
      <c r="BO611" t="s">
        <v>74</v>
      </c>
      <c r="BP611" t="s">
        <v>74</v>
      </c>
      <c r="BQ611" t="s">
        <v>74</v>
      </c>
      <c r="BR611" t="s">
        <v>107</v>
      </c>
      <c r="BS611" t="s">
        <v>8481</v>
      </c>
      <c r="BT611" t="str">
        <f>HYPERLINK("https%3A%2F%2Fwww.webofscience.com%2Fwos%2Fwoscc%2Ffull-record%2FWOS:000175992000013","View Full Record in Web of Science")</f>
        <v>View Full Record in Web of Science</v>
      </c>
    </row>
    <row r="612" spans="1:72" x14ac:dyDescent="0.15">
      <c r="A612" t="s">
        <v>72</v>
      </c>
      <c r="B612" t="s">
        <v>8482</v>
      </c>
      <c r="C612" t="s">
        <v>74</v>
      </c>
      <c r="D612" t="s">
        <v>74</v>
      </c>
      <c r="E612" t="s">
        <v>74</v>
      </c>
      <c r="F612" t="s">
        <v>8482</v>
      </c>
      <c r="G612" t="s">
        <v>74</v>
      </c>
      <c r="H612" t="s">
        <v>74</v>
      </c>
      <c r="I612" t="s">
        <v>8483</v>
      </c>
      <c r="J612" t="s">
        <v>8176</v>
      </c>
      <c r="K612" t="s">
        <v>74</v>
      </c>
      <c r="L612" t="s">
        <v>74</v>
      </c>
      <c r="M612" t="s">
        <v>77</v>
      </c>
      <c r="N612" t="s">
        <v>78</v>
      </c>
      <c r="O612" t="s">
        <v>8380</v>
      </c>
      <c r="P612" t="s">
        <v>8381</v>
      </c>
      <c r="Q612" t="s">
        <v>7942</v>
      </c>
      <c r="R612" t="s">
        <v>74</v>
      </c>
      <c r="S612" t="s">
        <v>74</v>
      </c>
      <c r="T612" t="s">
        <v>74</v>
      </c>
      <c r="U612" t="s">
        <v>8484</v>
      </c>
      <c r="V612" t="s">
        <v>8485</v>
      </c>
      <c r="W612" t="s">
        <v>8486</v>
      </c>
      <c r="X612" t="s">
        <v>8487</v>
      </c>
      <c r="Y612" t="s">
        <v>8488</v>
      </c>
      <c r="Z612" t="s">
        <v>8489</v>
      </c>
      <c r="AA612" t="s">
        <v>8490</v>
      </c>
      <c r="AB612" t="s">
        <v>8491</v>
      </c>
      <c r="AC612" t="s">
        <v>74</v>
      </c>
      <c r="AD612" t="s">
        <v>74</v>
      </c>
      <c r="AE612" t="s">
        <v>74</v>
      </c>
      <c r="AF612" t="s">
        <v>74</v>
      </c>
      <c r="AG612">
        <v>61</v>
      </c>
      <c r="AH612">
        <v>80</v>
      </c>
      <c r="AI612">
        <v>86</v>
      </c>
      <c r="AJ612">
        <v>0</v>
      </c>
      <c r="AK612">
        <v>20</v>
      </c>
      <c r="AL612" t="s">
        <v>1013</v>
      </c>
      <c r="AM612" t="s">
        <v>895</v>
      </c>
      <c r="AN612" t="s">
        <v>1014</v>
      </c>
      <c r="AO612" t="s">
        <v>8184</v>
      </c>
      <c r="AP612" t="s">
        <v>8185</v>
      </c>
      <c r="AQ612" t="s">
        <v>74</v>
      </c>
      <c r="AR612" t="s">
        <v>8186</v>
      </c>
      <c r="AS612" t="s">
        <v>8187</v>
      </c>
      <c r="AT612" t="s">
        <v>74</v>
      </c>
      <c r="AU612">
        <v>2002</v>
      </c>
      <c r="AV612">
        <v>49</v>
      </c>
      <c r="AW612" t="s">
        <v>5180</v>
      </c>
      <c r="AX612" t="s">
        <v>74</v>
      </c>
      <c r="AY612" t="s">
        <v>74</v>
      </c>
      <c r="AZ612" t="s">
        <v>74</v>
      </c>
      <c r="BA612" t="s">
        <v>74</v>
      </c>
      <c r="BB612">
        <v>1843</v>
      </c>
      <c r="BC612">
        <v>1865</v>
      </c>
      <c r="BD612" t="s">
        <v>8492</v>
      </c>
      <c r="BE612" t="s">
        <v>8493</v>
      </c>
      <c r="BF612" t="str">
        <f>HYPERLINK("http://dx.doi.org/10.1016/S0967-0645(02)00015-2","http://dx.doi.org/10.1016/S0967-0645(02)00015-2")</f>
        <v>http://dx.doi.org/10.1016/S0967-0645(02)00015-2</v>
      </c>
      <c r="BG612" t="s">
        <v>74</v>
      </c>
      <c r="BH612" t="s">
        <v>74</v>
      </c>
      <c r="BI612">
        <v>23</v>
      </c>
      <c r="BJ612" t="s">
        <v>1155</v>
      </c>
      <c r="BK612" t="s">
        <v>103</v>
      </c>
      <c r="BL612" t="s">
        <v>1155</v>
      </c>
      <c r="BM612" t="s">
        <v>8392</v>
      </c>
      <c r="BN612" t="s">
        <v>74</v>
      </c>
      <c r="BO612" t="s">
        <v>74</v>
      </c>
      <c r="BP612" t="s">
        <v>74</v>
      </c>
      <c r="BQ612" t="s">
        <v>74</v>
      </c>
      <c r="BR612" t="s">
        <v>107</v>
      </c>
      <c r="BS612" t="s">
        <v>8494</v>
      </c>
      <c r="BT612" t="str">
        <f>HYPERLINK("https%3A%2F%2Fwww.webofscience.com%2Fwos%2Fwoscc%2Ffull-record%2FWOS:000175992000014","View Full Record in Web of Science")</f>
        <v>View Full Record in Web of Science</v>
      </c>
    </row>
    <row r="613" spans="1:72" x14ac:dyDescent="0.15">
      <c r="A613" t="s">
        <v>72</v>
      </c>
      <c r="B613" t="s">
        <v>8495</v>
      </c>
      <c r="C613" t="s">
        <v>74</v>
      </c>
      <c r="D613" t="s">
        <v>74</v>
      </c>
      <c r="E613" t="s">
        <v>74</v>
      </c>
      <c r="F613" t="s">
        <v>8495</v>
      </c>
      <c r="G613" t="s">
        <v>74</v>
      </c>
      <c r="H613" t="s">
        <v>74</v>
      </c>
      <c r="I613" t="s">
        <v>8496</v>
      </c>
      <c r="J613" t="s">
        <v>8176</v>
      </c>
      <c r="K613" t="s">
        <v>74</v>
      </c>
      <c r="L613" t="s">
        <v>74</v>
      </c>
      <c r="M613" t="s">
        <v>77</v>
      </c>
      <c r="N613" t="s">
        <v>78</v>
      </c>
      <c r="O613" t="s">
        <v>8380</v>
      </c>
      <c r="P613" t="s">
        <v>8381</v>
      </c>
      <c r="Q613" t="s">
        <v>7942</v>
      </c>
      <c r="R613" t="s">
        <v>74</v>
      </c>
      <c r="S613" t="s">
        <v>74</v>
      </c>
      <c r="T613" t="s">
        <v>74</v>
      </c>
      <c r="U613" t="s">
        <v>8497</v>
      </c>
      <c r="V613" t="s">
        <v>8498</v>
      </c>
      <c r="W613" t="s">
        <v>8499</v>
      </c>
      <c r="X613" t="s">
        <v>4206</v>
      </c>
      <c r="Y613" t="s">
        <v>8500</v>
      </c>
      <c r="Z613" t="s">
        <v>74</v>
      </c>
      <c r="AA613" t="s">
        <v>74</v>
      </c>
      <c r="AB613" t="s">
        <v>74</v>
      </c>
      <c r="AC613" t="s">
        <v>74</v>
      </c>
      <c r="AD613" t="s">
        <v>74</v>
      </c>
      <c r="AE613" t="s">
        <v>74</v>
      </c>
      <c r="AF613" t="s">
        <v>74</v>
      </c>
      <c r="AG613">
        <v>63</v>
      </c>
      <c r="AH613">
        <v>14</v>
      </c>
      <c r="AI613">
        <v>15</v>
      </c>
      <c r="AJ613">
        <v>0</v>
      </c>
      <c r="AK613">
        <v>6</v>
      </c>
      <c r="AL613" t="s">
        <v>1013</v>
      </c>
      <c r="AM613" t="s">
        <v>895</v>
      </c>
      <c r="AN613" t="s">
        <v>1014</v>
      </c>
      <c r="AO613" t="s">
        <v>8184</v>
      </c>
      <c r="AP613" t="s">
        <v>74</v>
      </c>
      <c r="AQ613" t="s">
        <v>74</v>
      </c>
      <c r="AR613" t="s">
        <v>8186</v>
      </c>
      <c r="AS613" t="s">
        <v>8187</v>
      </c>
      <c r="AT613" t="s">
        <v>74</v>
      </c>
      <c r="AU613">
        <v>2002</v>
      </c>
      <c r="AV613">
        <v>49</v>
      </c>
      <c r="AW613" t="s">
        <v>5180</v>
      </c>
      <c r="AX613" t="s">
        <v>74</v>
      </c>
      <c r="AY613" t="s">
        <v>74</v>
      </c>
      <c r="AZ613" t="s">
        <v>74</v>
      </c>
      <c r="BA613" t="s">
        <v>74</v>
      </c>
      <c r="BB613">
        <v>1867</v>
      </c>
      <c r="BC613">
        <v>1880</v>
      </c>
      <c r="BD613" t="s">
        <v>8501</v>
      </c>
      <c r="BE613" t="s">
        <v>8502</v>
      </c>
      <c r="BF613" t="str">
        <f>HYPERLINK("http://dx.doi.org/10.1016/S0967-0645(02)00016-4","http://dx.doi.org/10.1016/S0967-0645(02)00016-4")</f>
        <v>http://dx.doi.org/10.1016/S0967-0645(02)00016-4</v>
      </c>
      <c r="BG613" t="s">
        <v>74</v>
      </c>
      <c r="BH613" t="s">
        <v>74</v>
      </c>
      <c r="BI613">
        <v>14</v>
      </c>
      <c r="BJ613" t="s">
        <v>1155</v>
      </c>
      <c r="BK613" t="s">
        <v>744</v>
      </c>
      <c r="BL613" t="s">
        <v>1155</v>
      </c>
      <c r="BM613" t="s">
        <v>8392</v>
      </c>
      <c r="BN613" t="s">
        <v>74</v>
      </c>
      <c r="BO613" t="s">
        <v>74</v>
      </c>
      <c r="BP613" t="s">
        <v>74</v>
      </c>
      <c r="BQ613" t="s">
        <v>74</v>
      </c>
      <c r="BR613" t="s">
        <v>107</v>
      </c>
      <c r="BS613" t="s">
        <v>8503</v>
      </c>
      <c r="BT613" t="str">
        <f>HYPERLINK("https%3A%2F%2Fwww.webofscience.com%2Fwos%2Fwoscc%2Ffull-record%2FWOS:000175992000015","View Full Record in Web of Science")</f>
        <v>View Full Record in Web of Science</v>
      </c>
    </row>
    <row r="614" spans="1:72" x14ac:dyDescent="0.15">
      <c r="A614" t="s">
        <v>72</v>
      </c>
      <c r="B614" t="s">
        <v>8504</v>
      </c>
      <c r="C614" t="s">
        <v>74</v>
      </c>
      <c r="D614" t="s">
        <v>74</v>
      </c>
      <c r="E614" t="s">
        <v>74</v>
      </c>
      <c r="F614" t="s">
        <v>8504</v>
      </c>
      <c r="G614" t="s">
        <v>74</v>
      </c>
      <c r="H614" t="s">
        <v>74</v>
      </c>
      <c r="I614" t="s">
        <v>8505</v>
      </c>
      <c r="J614" t="s">
        <v>8176</v>
      </c>
      <c r="K614" t="s">
        <v>74</v>
      </c>
      <c r="L614" t="s">
        <v>74</v>
      </c>
      <c r="M614" t="s">
        <v>77</v>
      </c>
      <c r="N614" t="s">
        <v>78</v>
      </c>
      <c r="O614" t="s">
        <v>8380</v>
      </c>
      <c r="P614" t="s">
        <v>8381</v>
      </c>
      <c r="Q614" t="s">
        <v>7942</v>
      </c>
      <c r="R614" t="s">
        <v>74</v>
      </c>
      <c r="S614" t="s">
        <v>74</v>
      </c>
      <c r="T614" t="s">
        <v>74</v>
      </c>
      <c r="U614" t="s">
        <v>8506</v>
      </c>
      <c r="V614" t="s">
        <v>8507</v>
      </c>
      <c r="W614" t="s">
        <v>8508</v>
      </c>
      <c r="X614" t="s">
        <v>8509</v>
      </c>
      <c r="Y614" t="s">
        <v>8510</v>
      </c>
      <c r="Z614" t="s">
        <v>74</v>
      </c>
      <c r="AA614" t="s">
        <v>8511</v>
      </c>
      <c r="AB614" t="s">
        <v>8512</v>
      </c>
      <c r="AC614" t="s">
        <v>74</v>
      </c>
      <c r="AD614" t="s">
        <v>74</v>
      </c>
      <c r="AE614" t="s">
        <v>74</v>
      </c>
      <c r="AF614" t="s">
        <v>74</v>
      </c>
      <c r="AG614">
        <v>172</v>
      </c>
      <c r="AH614">
        <v>145</v>
      </c>
      <c r="AI614">
        <v>164</v>
      </c>
      <c r="AJ614">
        <v>2</v>
      </c>
      <c r="AK614">
        <v>46</v>
      </c>
      <c r="AL614" t="s">
        <v>1013</v>
      </c>
      <c r="AM614" t="s">
        <v>895</v>
      </c>
      <c r="AN614" t="s">
        <v>1014</v>
      </c>
      <c r="AO614" t="s">
        <v>8184</v>
      </c>
      <c r="AP614" t="s">
        <v>74</v>
      </c>
      <c r="AQ614" t="s">
        <v>74</v>
      </c>
      <c r="AR614" t="s">
        <v>8186</v>
      </c>
      <c r="AS614" t="s">
        <v>8187</v>
      </c>
      <c r="AT614" t="s">
        <v>74</v>
      </c>
      <c r="AU614">
        <v>2002</v>
      </c>
      <c r="AV614">
        <v>49</v>
      </c>
      <c r="AW614" t="s">
        <v>5180</v>
      </c>
      <c r="AX614" t="s">
        <v>74</v>
      </c>
      <c r="AY614" t="s">
        <v>74</v>
      </c>
      <c r="AZ614" t="s">
        <v>74</v>
      </c>
      <c r="BA614" t="s">
        <v>74</v>
      </c>
      <c r="BB614">
        <v>1881</v>
      </c>
      <c r="BC614">
        <v>1907</v>
      </c>
      <c r="BD614" t="s">
        <v>8513</v>
      </c>
      <c r="BE614" t="s">
        <v>8514</v>
      </c>
      <c r="BF614" t="str">
        <f>HYPERLINK("http://dx.doi.org/10.1016/S0967-0645(02)00017-6","http://dx.doi.org/10.1016/S0967-0645(02)00017-6")</f>
        <v>http://dx.doi.org/10.1016/S0967-0645(02)00017-6</v>
      </c>
      <c r="BG614" t="s">
        <v>74</v>
      </c>
      <c r="BH614" t="s">
        <v>74</v>
      </c>
      <c r="BI614">
        <v>27</v>
      </c>
      <c r="BJ614" t="s">
        <v>1155</v>
      </c>
      <c r="BK614" t="s">
        <v>744</v>
      </c>
      <c r="BL614" t="s">
        <v>1155</v>
      </c>
      <c r="BM614" t="s">
        <v>8392</v>
      </c>
      <c r="BN614" t="s">
        <v>74</v>
      </c>
      <c r="BO614" t="s">
        <v>74</v>
      </c>
      <c r="BP614" t="s">
        <v>74</v>
      </c>
      <c r="BQ614" t="s">
        <v>74</v>
      </c>
      <c r="BR614" t="s">
        <v>107</v>
      </c>
      <c r="BS614" t="s">
        <v>8515</v>
      </c>
      <c r="BT614" t="str">
        <f>HYPERLINK("https%3A%2F%2Fwww.webofscience.com%2Fwos%2Fwoscc%2Ffull-record%2FWOS:000175992000016","View Full Record in Web of Science")</f>
        <v>View Full Record in Web of Science</v>
      </c>
    </row>
    <row r="615" spans="1:72" x14ac:dyDescent="0.15">
      <c r="A615" t="s">
        <v>72</v>
      </c>
      <c r="B615" t="s">
        <v>8516</v>
      </c>
      <c r="C615" t="s">
        <v>74</v>
      </c>
      <c r="D615" t="s">
        <v>74</v>
      </c>
      <c r="E615" t="s">
        <v>74</v>
      </c>
      <c r="F615" t="s">
        <v>8516</v>
      </c>
      <c r="G615" t="s">
        <v>74</v>
      </c>
      <c r="H615" t="s">
        <v>74</v>
      </c>
      <c r="I615" t="s">
        <v>8517</v>
      </c>
      <c r="J615" t="s">
        <v>8176</v>
      </c>
      <c r="K615" t="s">
        <v>74</v>
      </c>
      <c r="L615" t="s">
        <v>74</v>
      </c>
      <c r="M615" t="s">
        <v>77</v>
      </c>
      <c r="N615" t="s">
        <v>78</v>
      </c>
      <c r="O615" t="s">
        <v>8380</v>
      </c>
      <c r="P615" t="s">
        <v>8381</v>
      </c>
      <c r="Q615" t="s">
        <v>7942</v>
      </c>
      <c r="R615" t="s">
        <v>74</v>
      </c>
      <c r="S615" t="s">
        <v>74</v>
      </c>
      <c r="T615" t="s">
        <v>74</v>
      </c>
      <c r="U615" t="s">
        <v>8518</v>
      </c>
      <c r="V615" t="s">
        <v>8519</v>
      </c>
      <c r="W615" t="s">
        <v>8520</v>
      </c>
      <c r="X615" t="s">
        <v>8521</v>
      </c>
      <c r="Y615" t="s">
        <v>8522</v>
      </c>
      <c r="Z615" t="s">
        <v>8523</v>
      </c>
      <c r="AA615" t="s">
        <v>8411</v>
      </c>
      <c r="AB615" t="s">
        <v>8524</v>
      </c>
      <c r="AC615" t="s">
        <v>74</v>
      </c>
      <c r="AD615" t="s">
        <v>74</v>
      </c>
      <c r="AE615" t="s">
        <v>74</v>
      </c>
      <c r="AF615" t="s">
        <v>74</v>
      </c>
      <c r="AG615">
        <v>128</v>
      </c>
      <c r="AH615">
        <v>113</v>
      </c>
      <c r="AI615">
        <v>133</v>
      </c>
      <c r="AJ615">
        <v>0</v>
      </c>
      <c r="AK615">
        <v>39</v>
      </c>
      <c r="AL615" t="s">
        <v>1013</v>
      </c>
      <c r="AM615" t="s">
        <v>895</v>
      </c>
      <c r="AN615" t="s">
        <v>1014</v>
      </c>
      <c r="AO615" t="s">
        <v>8184</v>
      </c>
      <c r="AP615" t="s">
        <v>8185</v>
      </c>
      <c r="AQ615" t="s">
        <v>74</v>
      </c>
      <c r="AR615" t="s">
        <v>8186</v>
      </c>
      <c r="AS615" t="s">
        <v>8187</v>
      </c>
      <c r="AT615" t="s">
        <v>74</v>
      </c>
      <c r="AU615">
        <v>2002</v>
      </c>
      <c r="AV615">
        <v>49</v>
      </c>
      <c r="AW615" t="s">
        <v>5180</v>
      </c>
      <c r="AX615" t="s">
        <v>74</v>
      </c>
      <c r="AY615" t="s">
        <v>74</v>
      </c>
      <c r="AZ615" t="s">
        <v>74</v>
      </c>
      <c r="BA615" t="s">
        <v>74</v>
      </c>
      <c r="BB615">
        <v>1909</v>
      </c>
      <c r="BC615">
        <v>1938</v>
      </c>
      <c r="BD615" t="s">
        <v>8525</v>
      </c>
      <c r="BE615" t="s">
        <v>8526</v>
      </c>
      <c r="BF615" t="str">
        <f>HYPERLINK("http://dx.doi.org/10.1016/S0967-0645(02)00018-8","http://dx.doi.org/10.1016/S0967-0645(02)00018-8")</f>
        <v>http://dx.doi.org/10.1016/S0967-0645(02)00018-8</v>
      </c>
      <c r="BG615" t="s">
        <v>74</v>
      </c>
      <c r="BH615" t="s">
        <v>74</v>
      </c>
      <c r="BI615">
        <v>30</v>
      </c>
      <c r="BJ615" t="s">
        <v>1155</v>
      </c>
      <c r="BK615" t="s">
        <v>103</v>
      </c>
      <c r="BL615" t="s">
        <v>1155</v>
      </c>
      <c r="BM615" t="s">
        <v>8392</v>
      </c>
      <c r="BN615" t="s">
        <v>74</v>
      </c>
      <c r="BO615" t="s">
        <v>74</v>
      </c>
      <c r="BP615" t="s">
        <v>74</v>
      </c>
      <c r="BQ615" t="s">
        <v>74</v>
      </c>
      <c r="BR615" t="s">
        <v>107</v>
      </c>
      <c r="BS615" t="s">
        <v>8527</v>
      </c>
      <c r="BT615" t="str">
        <f>HYPERLINK("https%3A%2F%2Fwww.webofscience.com%2Fwos%2Fwoscc%2Ffull-record%2FWOS:000175992000017","View Full Record in Web of Science")</f>
        <v>View Full Record in Web of Science</v>
      </c>
    </row>
    <row r="616" spans="1:72" x14ac:dyDescent="0.15">
      <c r="A616" t="s">
        <v>72</v>
      </c>
      <c r="B616" t="s">
        <v>8528</v>
      </c>
      <c r="C616" t="s">
        <v>74</v>
      </c>
      <c r="D616" t="s">
        <v>74</v>
      </c>
      <c r="E616" t="s">
        <v>74</v>
      </c>
      <c r="F616" t="s">
        <v>8528</v>
      </c>
      <c r="G616" t="s">
        <v>74</v>
      </c>
      <c r="H616" t="s">
        <v>74</v>
      </c>
      <c r="I616" t="s">
        <v>8529</v>
      </c>
      <c r="J616" t="s">
        <v>8176</v>
      </c>
      <c r="K616" t="s">
        <v>74</v>
      </c>
      <c r="L616" t="s">
        <v>74</v>
      </c>
      <c r="M616" t="s">
        <v>77</v>
      </c>
      <c r="N616" t="s">
        <v>78</v>
      </c>
      <c r="O616" t="s">
        <v>8380</v>
      </c>
      <c r="P616" t="s">
        <v>8381</v>
      </c>
      <c r="Q616" t="s">
        <v>7942</v>
      </c>
      <c r="R616" t="s">
        <v>74</v>
      </c>
      <c r="S616" t="s">
        <v>74</v>
      </c>
      <c r="T616" t="s">
        <v>74</v>
      </c>
      <c r="U616" t="s">
        <v>8530</v>
      </c>
      <c r="V616" t="s">
        <v>8531</v>
      </c>
      <c r="W616" t="s">
        <v>8532</v>
      </c>
      <c r="X616" t="s">
        <v>7882</v>
      </c>
      <c r="Y616" t="s">
        <v>8533</v>
      </c>
      <c r="Z616" t="s">
        <v>7884</v>
      </c>
      <c r="AA616" t="s">
        <v>7885</v>
      </c>
      <c r="AB616" t="s">
        <v>7886</v>
      </c>
      <c r="AC616" t="s">
        <v>74</v>
      </c>
      <c r="AD616" t="s">
        <v>74</v>
      </c>
      <c r="AE616" t="s">
        <v>74</v>
      </c>
      <c r="AF616" t="s">
        <v>74</v>
      </c>
      <c r="AG616">
        <v>35</v>
      </c>
      <c r="AH616">
        <v>3</v>
      </c>
      <c r="AI616">
        <v>3</v>
      </c>
      <c r="AJ616">
        <v>0</v>
      </c>
      <c r="AK616">
        <v>8</v>
      </c>
      <c r="AL616" t="s">
        <v>1013</v>
      </c>
      <c r="AM616" t="s">
        <v>895</v>
      </c>
      <c r="AN616" t="s">
        <v>1014</v>
      </c>
      <c r="AO616" t="s">
        <v>8184</v>
      </c>
      <c r="AP616" t="s">
        <v>8185</v>
      </c>
      <c r="AQ616" t="s">
        <v>74</v>
      </c>
      <c r="AR616" t="s">
        <v>8186</v>
      </c>
      <c r="AS616" t="s">
        <v>8187</v>
      </c>
      <c r="AT616" t="s">
        <v>74</v>
      </c>
      <c r="AU616">
        <v>2002</v>
      </c>
      <c r="AV616">
        <v>49</v>
      </c>
      <c r="AW616" t="s">
        <v>5180</v>
      </c>
      <c r="AX616" t="s">
        <v>74</v>
      </c>
      <c r="AY616" t="s">
        <v>74</v>
      </c>
      <c r="AZ616" t="s">
        <v>74</v>
      </c>
      <c r="BA616" t="s">
        <v>74</v>
      </c>
      <c r="BB616">
        <v>1953</v>
      </c>
      <c r="BC616">
        <v>1961</v>
      </c>
      <c r="BD616" t="s">
        <v>8534</v>
      </c>
      <c r="BE616" t="s">
        <v>8535</v>
      </c>
      <c r="BF616" t="str">
        <f>HYPERLINK("http://dx.doi.org/10.1016/S0967-0645(02)00020-6","http://dx.doi.org/10.1016/S0967-0645(02)00020-6")</f>
        <v>http://dx.doi.org/10.1016/S0967-0645(02)00020-6</v>
      </c>
      <c r="BG616" t="s">
        <v>74</v>
      </c>
      <c r="BH616" t="s">
        <v>74</v>
      </c>
      <c r="BI616">
        <v>9</v>
      </c>
      <c r="BJ616" t="s">
        <v>1155</v>
      </c>
      <c r="BK616" t="s">
        <v>103</v>
      </c>
      <c r="BL616" t="s">
        <v>1155</v>
      </c>
      <c r="BM616" t="s">
        <v>8392</v>
      </c>
      <c r="BN616" t="s">
        <v>74</v>
      </c>
      <c r="BO616" t="s">
        <v>74</v>
      </c>
      <c r="BP616" t="s">
        <v>74</v>
      </c>
      <c r="BQ616" t="s">
        <v>74</v>
      </c>
      <c r="BR616" t="s">
        <v>107</v>
      </c>
      <c r="BS616" t="s">
        <v>8536</v>
      </c>
      <c r="BT616" t="str">
        <f>HYPERLINK("https%3A%2F%2Fwww.webofscience.com%2Fwos%2Fwoscc%2Ffull-record%2FWOS:000175992000019","View Full Record in Web of Science")</f>
        <v>View Full Record in Web of Science</v>
      </c>
    </row>
    <row r="617" spans="1:72" x14ac:dyDescent="0.15">
      <c r="A617" t="s">
        <v>72</v>
      </c>
      <c r="B617" t="s">
        <v>8537</v>
      </c>
      <c r="C617" t="s">
        <v>74</v>
      </c>
      <c r="D617" t="s">
        <v>74</v>
      </c>
      <c r="E617" t="s">
        <v>74</v>
      </c>
      <c r="F617" t="s">
        <v>8537</v>
      </c>
      <c r="G617" t="s">
        <v>74</v>
      </c>
      <c r="H617" t="s">
        <v>74</v>
      </c>
      <c r="I617" t="s">
        <v>8538</v>
      </c>
      <c r="J617" t="s">
        <v>8176</v>
      </c>
      <c r="K617" t="s">
        <v>74</v>
      </c>
      <c r="L617" t="s">
        <v>74</v>
      </c>
      <c r="M617" t="s">
        <v>77</v>
      </c>
      <c r="N617" t="s">
        <v>78</v>
      </c>
      <c r="O617" t="s">
        <v>8539</v>
      </c>
      <c r="P617" t="s">
        <v>8381</v>
      </c>
      <c r="Q617" t="s">
        <v>7942</v>
      </c>
      <c r="R617" t="s">
        <v>74</v>
      </c>
      <c r="S617" t="s">
        <v>74</v>
      </c>
      <c r="T617" t="s">
        <v>74</v>
      </c>
      <c r="U617" t="s">
        <v>8540</v>
      </c>
      <c r="V617" t="s">
        <v>8541</v>
      </c>
      <c r="W617" t="s">
        <v>8542</v>
      </c>
      <c r="X617" t="s">
        <v>8543</v>
      </c>
      <c r="Y617" t="s">
        <v>8544</v>
      </c>
      <c r="Z617" t="s">
        <v>8545</v>
      </c>
      <c r="AA617" t="s">
        <v>8546</v>
      </c>
      <c r="AB617" t="s">
        <v>8547</v>
      </c>
      <c r="AC617" t="s">
        <v>74</v>
      </c>
      <c r="AD617" t="s">
        <v>74</v>
      </c>
      <c r="AE617" t="s">
        <v>74</v>
      </c>
      <c r="AF617" t="s">
        <v>74</v>
      </c>
      <c r="AG617">
        <v>130</v>
      </c>
      <c r="AH617">
        <v>70</v>
      </c>
      <c r="AI617">
        <v>75</v>
      </c>
      <c r="AJ617">
        <v>0</v>
      </c>
      <c r="AK617">
        <v>15</v>
      </c>
      <c r="AL617" t="s">
        <v>1013</v>
      </c>
      <c r="AM617" t="s">
        <v>895</v>
      </c>
      <c r="AN617" t="s">
        <v>1014</v>
      </c>
      <c r="AO617" t="s">
        <v>8184</v>
      </c>
      <c r="AP617" t="s">
        <v>8185</v>
      </c>
      <c r="AQ617" t="s">
        <v>74</v>
      </c>
      <c r="AR617" t="s">
        <v>8186</v>
      </c>
      <c r="AS617" t="s">
        <v>8187</v>
      </c>
      <c r="AT617" t="s">
        <v>74</v>
      </c>
      <c r="AU617">
        <v>2002</v>
      </c>
      <c r="AV617">
        <v>49</v>
      </c>
      <c r="AW617">
        <v>16</v>
      </c>
      <c r="AX617" t="s">
        <v>74</v>
      </c>
      <c r="AY617" t="s">
        <v>74</v>
      </c>
      <c r="AZ617" t="s">
        <v>74</v>
      </c>
      <c r="BA617" t="s">
        <v>74</v>
      </c>
      <c r="BB617">
        <v>3127</v>
      </c>
      <c r="BC617">
        <v>3154</v>
      </c>
      <c r="BD617" t="s">
        <v>8548</v>
      </c>
      <c r="BE617" t="s">
        <v>8549</v>
      </c>
      <c r="BF617" t="str">
        <f>HYPERLINK("http://dx.doi.org/10.1016/S0967-0645(02)00075-9","http://dx.doi.org/10.1016/S0967-0645(02)00075-9")</f>
        <v>http://dx.doi.org/10.1016/S0967-0645(02)00075-9</v>
      </c>
      <c r="BG617" t="s">
        <v>74</v>
      </c>
      <c r="BH617" t="s">
        <v>74</v>
      </c>
      <c r="BI617">
        <v>28</v>
      </c>
      <c r="BJ617" t="s">
        <v>1155</v>
      </c>
      <c r="BK617" t="s">
        <v>103</v>
      </c>
      <c r="BL617" t="s">
        <v>1155</v>
      </c>
      <c r="BM617" t="s">
        <v>8550</v>
      </c>
      <c r="BN617" t="s">
        <v>74</v>
      </c>
      <c r="BO617" t="s">
        <v>74</v>
      </c>
      <c r="BP617" t="s">
        <v>74</v>
      </c>
      <c r="BQ617" t="s">
        <v>74</v>
      </c>
      <c r="BR617" t="s">
        <v>107</v>
      </c>
      <c r="BS617" t="s">
        <v>8551</v>
      </c>
      <c r="BT617" t="str">
        <f>HYPERLINK("https%3A%2F%2Fwww.webofscience.com%2Fwos%2Fwoscc%2Ffull-record%2FWOS:000176691300003","View Full Record in Web of Science")</f>
        <v>View Full Record in Web of Science</v>
      </c>
    </row>
    <row r="618" spans="1:72" x14ac:dyDescent="0.15">
      <c r="A618" t="s">
        <v>72</v>
      </c>
      <c r="B618" t="s">
        <v>8552</v>
      </c>
      <c r="C618" t="s">
        <v>74</v>
      </c>
      <c r="D618" t="s">
        <v>74</v>
      </c>
      <c r="E618" t="s">
        <v>74</v>
      </c>
      <c r="F618" t="s">
        <v>8552</v>
      </c>
      <c r="G618" t="s">
        <v>74</v>
      </c>
      <c r="H618" t="s">
        <v>74</v>
      </c>
      <c r="I618" t="s">
        <v>8553</v>
      </c>
      <c r="J618" t="s">
        <v>8176</v>
      </c>
      <c r="K618" t="s">
        <v>74</v>
      </c>
      <c r="L618" t="s">
        <v>74</v>
      </c>
      <c r="M618" t="s">
        <v>77</v>
      </c>
      <c r="N618" t="s">
        <v>78</v>
      </c>
      <c r="O618" t="s">
        <v>8539</v>
      </c>
      <c r="P618" t="s">
        <v>8381</v>
      </c>
      <c r="Q618" t="s">
        <v>7942</v>
      </c>
      <c r="R618" t="s">
        <v>74</v>
      </c>
      <c r="S618" t="s">
        <v>74</v>
      </c>
      <c r="T618" t="s">
        <v>74</v>
      </c>
      <c r="U618" t="s">
        <v>8554</v>
      </c>
      <c r="V618" t="s">
        <v>8555</v>
      </c>
      <c r="W618" t="s">
        <v>8556</v>
      </c>
      <c r="X618" t="s">
        <v>8557</v>
      </c>
      <c r="Y618" t="s">
        <v>8558</v>
      </c>
      <c r="Z618" t="s">
        <v>8559</v>
      </c>
      <c r="AA618" t="s">
        <v>74</v>
      </c>
      <c r="AB618" t="s">
        <v>74</v>
      </c>
      <c r="AC618" t="s">
        <v>74</v>
      </c>
      <c r="AD618" t="s">
        <v>74</v>
      </c>
      <c r="AE618" t="s">
        <v>74</v>
      </c>
      <c r="AF618" t="s">
        <v>74</v>
      </c>
      <c r="AG618">
        <v>62</v>
      </c>
      <c r="AH618">
        <v>174</v>
      </c>
      <c r="AI618">
        <v>221</v>
      </c>
      <c r="AJ618">
        <v>2</v>
      </c>
      <c r="AK618">
        <v>60</v>
      </c>
      <c r="AL618" t="s">
        <v>1013</v>
      </c>
      <c r="AM618" t="s">
        <v>895</v>
      </c>
      <c r="AN618" t="s">
        <v>1014</v>
      </c>
      <c r="AO618" t="s">
        <v>8184</v>
      </c>
      <c r="AP618" t="s">
        <v>74</v>
      </c>
      <c r="AQ618" t="s">
        <v>74</v>
      </c>
      <c r="AR618" t="s">
        <v>8186</v>
      </c>
      <c r="AS618" t="s">
        <v>8187</v>
      </c>
      <c r="AT618" t="s">
        <v>74</v>
      </c>
      <c r="AU618">
        <v>2002</v>
      </c>
      <c r="AV618">
        <v>49</v>
      </c>
      <c r="AW618">
        <v>16</v>
      </c>
      <c r="AX618" t="s">
        <v>74</v>
      </c>
      <c r="AY618" t="s">
        <v>74</v>
      </c>
      <c r="AZ618" t="s">
        <v>74</v>
      </c>
      <c r="BA618" t="s">
        <v>74</v>
      </c>
      <c r="BB618">
        <v>3155</v>
      </c>
      <c r="BC618">
        <v>3167</v>
      </c>
      <c r="BD618" t="s">
        <v>8560</v>
      </c>
      <c r="BE618" t="s">
        <v>8561</v>
      </c>
      <c r="BF618" t="str">
        <f>HYPERLINK("http://dx.doi.org/10.1016/S0967-0645(02)00076-0","http://dx.doi.org/10.1016/S0967-0645(02)00076-0")</f>
        <v>http://dx.doi.org/10.1016/S0967-0645(02)00076-0</v>
      </c>
      <c r="BG618" t="s">
        <v>74</v>
      </c>
      <c r="BH618" t="s">
        <v>74</v>
      </c>
      <c r="BI618">
        <v>13</v>
      </c>
      <c r="BJ618" t="s">
        <v>1155</v>
      </c>
      <c r="BK618" t="s">
        <v>103</v>
      </c>
      <c r="BL618" t="s">
        <v>1155</v>
      </c>
      <c r="BM618" t="s">
        <v>8550</v>
      </c>
      <c r="BN618" t="s">
        <v>74</v>
      </c>
      <c r="BO618" t="s">
        <v>74</v>
      </c>
      <c r="BP618" t="s">
        <v>74</v>
      </c>
      <c r="BQ618" t="s">
        <v>74</v>
      </c>
      <c r="BR618" t="s">
        <v>107</v>
      </c>
      <c r="BS618" t="s">
        <v>8562</v>
      </c>
      <c r="BT618" t="str">
        <f>HYPERLINK("https%3A%2F%2Fwww.webofscience.com%2Fwos%2Fwoscc%2Ffull-record%2FWOS:000176691300004","View Full Record in Web of Science")</f>
        <v>View Full Record in Web of Science</v>
      </c>
    </row>
    <row r="619" spans="1:72" x14ac:dyDescent="0.15">
      <c r="A619" t="s">
        <v>72</v>
      </c>
      <c r="B619" t="s">
        <v>8563</v>
      </c>
      <c r="C619" t="s">
        <v>74</v>
      </c>
      <c r="D619" t="s">
        <v>74</v>
      </c>
      <c r="E619" t="s">
        <v>74</v>
      </c>
      <c r="F619" t="s">
        <v>8563</v>
      </c>
      <c r="G619" t="s">
        <v>74</v>
      </c>
      <c r="H619" t="s">
        <v>74</v>
      </c>
      <c r="I619" t="s">
        <v>8564</v>
      </c>
      <c r="J619" t="s">
        <v>8176</v>
      </c>
      <c r="K619" t="s">
        <v>74</v>
      </c>
      <c r="L619" t="s">
        <v>74</v>
      </c>
      <c r="M619" t="s">
        <v>77</v>
      </c>
      <c r="N619" t="s">
        <v>78</v>
      </c>
      <c r="O619" t="s">
        <v>8539</v>
      </c>
      <c r="P619" t="s">
        <v>8381</v>
      </c>
      <c r="Q619" t="s">
        <v>7942</v>
      </c>
      <c r="R619" t="s">
        <v>74</v>
      </c>
      <c r="S619" t="s">
        <v>74</v>
      </c>
      <c r="T619" t="s">
        <v>74</v>
      </c>
      <c r="U619" t="s">
        <v>8565</v>
      </c>
      <c r="V619" t="s">
        <v>8566</v>
      </c>
      <c r="W619" t="s">
        <v>8567</v>
      </c>
      <c r="X619" t="s">
        <v>8568</v>
      </c>
      <c r="Y619" t="s">
        <v>8569</v>
      </c>
      <c r="Z619" t="s">
        <v>8570</v>
      </c>
      <c r="AA619" t="s">
        <v>1147</v>
      </c>
      <c r="AB619" t="s">
        <v>1148</v>
      </c>
      <c r="AC619" t="s">
        <v>74</v>
      </c>
      <c r="AD619" t="s">
        <v>74</v>
      </c>
      <c r="AE619" t="s">
        <v>74</v>
      </c>
      <c r="AF619" t="s">
        <v>74</v>
      </c>
      <c r="AG619">
        <v>69</v>
      </c>
      <c r="AH619">
        <v>38</v>
      </c>
      <c r="AI619">
        <v>42</v>
      </c>
      <c r="AJ619">
        <v>1</v>
      </c>
      <c r="AK619">
        <v>22</v>
      </c>
      <c r="AL619" t="s">
        <v>1013</v>
      </c>
      <c r="AM619" t="s">
        <v>895</v>
      </c>
      <c r="AN619" t="s">
        <v>1014</v>
      </c>
      <c r="AO619" t="s">
        <v>8184</v>
      </c>
      <c r="AP619" t="s">
        <v>8185</v>
      </c>
      <c r="AQ619" t="s">
        <v>74</v>
      </c>
      <c r="AR619" t="s">
        <v>8186</v>
      </c>
      <c r="AS619" t="s">
        <v>8187</v>
      </c>
      <c r="AT619" t="s">
        <v>74</v>
      </c>
      <c r="AU619">
        <v>2002</v>
      </c>
      <c r="AV619">
        <v>49</v>
      </c>
      <c r="AW619">
        <v>16</v>
      </c>
      <c r="AX619" t="s">
        <v>74</v>
      </c>
      <c r="AY619" t="s">
        <v>74</v>
      </c>
      <c r="AZ619" t="s">
        <v>74</v>
      </c>
      <c r="BA619" t="s">
        <v>74</v>
      </c>
      <c r="BB619">
        <v>3169</v>
      </c>
      <c r="BC619">
        <v>3187</v>
      </c>
      <c r="BD619" t="s">
        <v>8571</v>
      </c>
      <c r="BE619" t="s">
        <v>8572</v>
      </c>
      <c r="BF619" t="str">
        <f>HYPERLINK("http://dx.doi.org/10.1016/S0967-0645(02)00077-2","http://dx.doi.org/10.1016/S0967-0645(02)00077-2")</f>
        <v>http://dx.doi.org/10.1016/S0967-0645(02)00077-2</v>
      </c>
      <c r="BG619" t="s">
        <v>74</v>
      </c>
      <c r="BH619" t="s">
        <v>74</v>
      </c>
      <c r="BI619">
        <v>19</v>
      </c>
      <c r="BJ619" t="s">
        <v>1155</v>
      </c>
      <c r="BK619" t="s">
        <v>103</v>
      </c>
      <c r="BL619" t="s">
        <v>1155</v>
      </c>
      <c r="BM619" t="s">
        <v>8550</v>
      </c>
      <c r="BN619" t="s">
        <v>74</v>
      </c>
      <c r="BO619" t="s">
        <v>74</v>
      </c>
      <c r="BP619" t="s">
        <v>74</v>
      </c>
      <c r="BQ619" t="s">
        <v>74</v>
      </c>
      <c r="BR619" t="s">
        <v>107</v>
      </c>
      <c r="BS619" t="s">
        <v>8573</v>
      </c>
      <c r="BT619" t="str">
        <f>HYPERLINK("https%3A%2F%2Fwww.webofscience.com%2Fwos%2Fwoscc%2Ffull-record%2FWOS:000176691300005","View Full Record in Web of Science")</f>
        <v>View Full Record in Web of Science</v>
      </c>
    </row>
    <row r="620" spans="1:72" x14ac:dyDescent="0.15">
      <c r="A620" t="s">
        <v>72</v>
      </c>
      <c r="B620" t="s">
        <v>8574</v>
      </c>
      <c r="C620" t="s">
        <v>74</v>
      </c>
      <c r="D620" t="s">
        <v>74</v>
      </c>
      <c r="E620" t="s">
        <v>74</v>
      </c>
      <c r="F620" t="s">
        <v>8574</v>
      </c>
      <c r="G620" t="s">
        <v>74</v>
      </c>
      <c r="H620" t="s">
        <v>74</v>
      </c>
      <c r="I620" t="s">
        <v>8575</v>
      </c>
      <c r="J620" t="s">
        <v>8176</v>
      </c>
      <c r="K620" t="s">
        <v>74</v>
      </c>
      <c r="L620" t="s">
        <v>74</v>
      </c>
      <c r="M620" t="s">
        <v>77</v>
      </c>
      <c r="N620" t="s">
        <v>78</v>
      </c>
      <c r="O620" t="s">
        <v>8539</v>
      </c>
      <c r="P620" t="s">
        <v>8381</v>
      </c>
      <c r="Q620" t="s">
        <v>7942</v>
      </c>
      <c r="R620" t="s">
        <v>74</v>
      </c>
      <c r="S620" t="s">
        <v>74</v>
      </c>
      <c r="T620" t="s">
        <v>74</v>
      </c>
      <c r="U620" t="s">
        <v>8576</v>
      </c>
      <c r="V620" t="s">
        <v>8577</v>
      </c>
      <c r="W620" t="s">
        <v>8578</v>
      </c>
      <c r="X620" t="s">
        <v>8579</v>
      </c>
      <c r="Y620" t="s">
        <v>8580</v>
      </c>
      <c r="Z620" t="s">
        <v>74</v>
      </c>
      <c r="AA620" t="s">
        <v>8581</v>
      </c>
      <c r="AB620" t="s">
        <v>8582</v>
      </c>
      <c r="AC620" t="s">
        <v>74</v>
      </c>
      <c r="AD620" t="s">
        <v>74</v>
      </c>
      <c r="AE620" t="s">
        <v>74</v>
      </c>
      <c r="AF620" t="s">
        <v>74</v>
      </c>
      <c r="AG620">
        <v>43</v>
      </c>
      <c r="AH620">
        <v>28</v>
      </c>
      <c r="AI620">
        <v>37</v>
      </c>
      <c r="AJ620">
        <v>0</v>
      </c>
      <c r="AK620">
        <v>7</v>
      </c>
      <c r="AL620" t="s">
        <v>1013</v>
      </c>
      <c r="AM620" t="s">
        <v>895</v>
      </c>
      <c r="AN620" t="s">
        <v>1014</v>
      </c>
      <c r="AO620" t="s">
        <v>8184</v>
      </c>
      <c r="AP620" t="s">
        <v>74</v>
      </c>
      <c r="AQ620" t="s">
        <v>74</v>
      </c>
      <c r="AR620" t="s">
        <v>8186</v>
      </c>
      <c r="AS620" t="s">
        <v>8187</v>
      </c>
      <c r="AT620" t="s">
        <v>74</v>
      </c>
      <c r="AU620">
        <v>2002</v>
      </c>
      <c r="AV620">
        <v>49</v>
      </c>
      <c r="AW620">
        <v>16</v>
      </c>
      <c r="AX620" t="s">
        <v>74</v>
      </c>
      <c r="AY620" t="s">
        <v>74</v>
      </c>
      <c r="AZ620" t="s">
        <v>74</v>
      </c>
      <c r="BA620" t="s">
        <v>74</v>
      </c>
      <c r="BB620">
        <v>3189</v>
      </c>
      <c r="BC620">
        <v>3206</v>
      </c>
      <c r="BD620" t="s">
        <v>8583</v>
      </c>
      <c r="BE620" t="s">
        <v>8584</v>
      </c>
      <c r="BF620" t="str">
        <f>HYPERLINK("http://dx.doi.org/10.1016/S0967-0645(02)00078-4","http://dx.doi.org/10.1016/S0967-0645(02)00078-4")</f>
        <v>http://dx.doi.org/10.1016/S0967-0645(02)00078-4</v>
      </c>
      <c r="BG620" t="s">
        <v>74</v>
      </c>
      <c r="BH620" t="s">
        <v>74</v>
      </c>
      <c r="BI620">
        <v>18</v>
      </c>
      <c r="BJ620" t="s">
        <v>1155</v>
      </c>
      <c r="BK620" t="s">
        <v>744</v>
      </c>
      <c r="BL620" t="s">
        <v>1155</v>
      </c>
      <c r="BM620" t="s">
        <v>8550</v>
      </c>
      <c r="BN620" t="s">
        <v>74</v>
      </c>
      <c r="BO620" t="s">
        <v>74</v>
      </c>
      <c r="BP620" t="s">
        <v>74</v>
      </c>
      <c r="BQ620" t="s">
        <v>74</v>
      </c>
      <c r="BR620" t="s">
        <v>107</v>
      </c>
      <c r="BS620" t="s">
        <v>8585</v>
      </c>
      <c r="BT620" t="str">
        <f>HYPERLINK("https%3A%2F%2Fwww.webofscience.com%2Fwos%2Fwoscc%2Ffull-record%2FWOS:000176691300006","View Full Record in Web of Science")</f>
        <v>View Full Record in Web of Science</v>
      </c>
    </row>
    <row r="621" spans="1:72" x14ac:dyDescent="0.15">
      <c r="A621" t="s">
        <v>72</v>
      </c>
      <c r="B621" t="s">
        <v>8586</v>
      </c>
      <c r="C621" t="s">
        <v>74</v>
      </c>
      <c r="D621" t="s">
        <v>74</v>
      </c>
      <c r="E621" t="s">
        <v>74</v>
      </c>
      <c r="F621" t="s">
        <v>8586</v>
      </c>
      <c r="G621" t="s">
        <v>74</v>
      </c>
      <c r="H621" t="s">
        <v>74</v>
      </c>
      <c r="I621" t="s">
        <v>8587</v>
      </c>
      <c r="J621" t="s">
        <v>8176</v>
      </c>
      <c r="K621" t="s">
        <v>74</v>
      </c>
      <c r="L621" t="s">
        <v>74</v>
      </c>
      <c r="M621" t="s">
        <v>77</v>
      </c>
      <c r="N621" t="s">
        <v>78</v>
      </c>
      <c r="O621" t="s">
        <v>8539</v>
      </c>
      <c r="P621" t="s">
        <v>8381</v>
      </c>
      <c r="Q621" t="s">
        <v>7942</v>
      </c>
      <c r="R621" t="s">
        <v>74</v>
      </c>
      <c r="S621" t="s">
        <v>74</v>
      </c>
      <c r="T621" t="s">
        <v>74</v>
      </c>
      <c r="U621" t="s">
        <v>8588</v>
      </c>
      <c r="V621" t="s">
        <v>8589</v>
      </c>
      <c r="W621" t="s">
        <v>3174</v>
      </c>
      <c r="X621" t="s">
        <v>2368</v>
      </c>
      <c r="Y621" t="s">
        <v>8590</v>
      </c>
      <c r="Z621" t="s">
        <v>74</v>
      </c>
      <c r="AA621" t="s">
        <v>74</v>
      </c>
      <c r="AB621" t="s">
        <v>74</v>
      </c>
      <c r="AC621" t="s">
        <v>74</v>
      </c>
      <c r="AD621" t="s">
        <v>74</v>
      </c>
      <c r="AE621" t="s">
        <v>74</v>
      </c>
      <c r="AF621" t="s">
        <v>74</v>
      </c>
      <c r="AG621">
        <v>79</v>
      </c>
      <c r="AH621">
        <v>27</v>
      </c>
      <c r="AI621">
        <v>30</v>
      </c>
      <c r="AJ621">
        <v>0</v>
      </c>
      <c r="AK621">
        <v>12</v>
      </c>
      <c r="AL621" t="s">
        <v>1013</v>
      </c>
      <c r="AM621" t="s">
        <v>895</v>
      </c>
      <c r="AN621" t="s">
        <v>1014</v>
      </c>
      <c r="AO621" t="s">
        <v>8184</v>
      </c>
      <c r="AP621" t="s">
        <v>74</v>
      </c>
      <c r="AQ621" t="s">
        <v>74</v>
      </c>
      <c r="AR621" t="s">
        <v>8186</v>
      </c>
      <c r="AS621" t="s">
        <v>8187</v>
      </c>
      <c r="AT621" t="s">
        <v>74</v>
      </c>
      <c r="AU621">
        <v>2002</v>
      </c>
      <c r="AV621">
        <v>49</v>
      </c>
      <c r="AW621">
        <v>16</v>
      </c>
      <c r="AX621" t="s">
        <v>74</v>
      </c>
      <c r="AY621" t="s">
        <v>74</v>
      </c>
      <c r="AZ621" t="s">
        <v>74</v>
      </c>
      <c r="BA621" t="s">
        <v>74</v>
      </c>
      <c r="BB621">
        <v>3229</v>
      </c>
      <c r="BC621">
        <v>3242</v>
      </c>
      <c r="BD621" t="s">
        <v>8591</v>
      </c>
      <c r="BE621" t="s">
        <v>8592</v>
      </c>
      <c r="BF621" t="str">
        <f>HYPERLINK("http://dx.doi.org/10.1016/S0967-0645(02)00080-2","http://dx.doi.org/10.1016/S0967-0645(02)00080-2")</f>
        <v>http://dx.doi.org/10.1016/S0967-0645(02)00080-2</v>
      </c>
      <c r="BG621" t="s">
        <v>74</v>
      </c>
      <c r="BH621" t="s">
        <v>74</v>
      </c>
      <c r="BI621">
        <v>14</v>
      </c>
      <c r="BJ621" t="s">
        <v>1155</v>
      </c>
      <c r="BK621" t="s">
        <v>744</v>
      </c>
      <c r="BL621" t="s">
        <v>1155</v>
      </c>
      <c r="BM621" t="s">
        <v>8550</v>
      </c>
      <c r="BN621" t="s">
        <v>74</v>
      </c>
      <c r="BO621" t="s">
        <v>74</v>
      </c>
      <c r="BP621" t="s">
        <v>74</v>
      </c>
      <c r="BQ621" t="s">
        <v>74</v>
      </c>
      <c r="BR621" t="s">
        <v>107</v>
      </c>
      <c r="BS621" t="s">
        <v>8593</v>
      </c>
      <c r="BT621" t="str">
        <f>HYPERLINK("https%3A%2F%2Fwww.webofscience.com%2Fwos%2Fwoscc%2Ffull-record%2FWOS:000176691300008","View Full Record in Web of Science")</f>
        <v>View Full Record in Web of Science</v>
      </c>
    </row>
    <row r="622" spans="1:72" x14ac:dyDescent="0.15">
      <c r="A622" t="s">
        <v>72</v>
      </c>
      <c r="B622" t="s">
        <v>8594</v>
      </c>
      <c r="C622" t="s">
        <v>74</v>
      </c>
      <c r="D622" t="s">
        <v>74</v>
      </c>
      <c r="E622" t="s">
        <v>74</v>
      </c>
      <c r="F622" t="s">
        <v>8594</v>
      </c>
      <c r="G622" t="s">
        <v>74</v>
      </c>
      <c r="H622" t="s">
        <v>74</v>
      </c>
      <c r="I622" t="s">
        <v>8595</v>
      </c>
      <c r="J622" t="s">
        <v>8176</v>
      </c>
      <c r="K622" t="s">
        <v>74</v>
      </c>
      <c r="L622" t="s">
        <v>74</v>
      </c>
      <c r="M622" t="s">
        <v>77</v>
      </c>
      <c r="N622" t="s">
        <v>78</v>
      </c>
      <c r="O622" t="s">
        <v>8539</v>
      </c>
      <c r="P622" t="s">
        <v>8381</v>
      </c>
      <c r="Q622" t="s">
        <v>7942</v>
      </c>
      <c r="R622" t="s">
        <v>74</v>
      </c>
      <c r="S622" t="s">
        <v>74</v>
      </c>
      <c r="T622" t="s">
        <v>74</v>
      </c>
      <c r="U622" t="s">
        <v>8596</v>
      </c>
      <c r="V622" t="s">
        <v>8597</v>
      </c>
      <c r="W622" t="s">
        <v>8598</v>
      </c>
      <c r="X622" t="s">
        <v>8599</v>
      </c>
      <c r="Y622" t="s">
        <v>8600</v>
      </c>
      <c r="Z622" t="s">
        <v>74</v>
      </c>
      <c r="AA622" t="s">
        <v>8601</v>
      </c>
      <c r="AB622" t="s">
        <v>8602</v>
      </c>
      <c r="AC622" t="s">
        <v>74</v>
      </c>
      <c r="AD622" t="s">
        <v>74</v>
      </c>
      <c r="AE622" t="s">
        <v>74</v>
      </c>
      <c r="AF622" t="s">
        <v>74</v>
      </c>
      <c r="AG622">
        <v>37</v>
      </c>
      <c r="AH622">
        <v>11</v>
      </c>
      <c r="AI622">
        <v>13</v>
      </c>
      <c r="AJ622">
        <v>0</v>
      </c>
      <c r="AK622">
        <v>8</v>
      </c>
      <c r="AL622" t="s">
        <v>1013</v>
      </c>
      <c r="AM622" t="s">
        <v>895</v>
      </c>
      <c r="AN622" t="s">
        <v>1014</v>
      </c>
      <c r="AO622" t="s">
        <v>8184</v>
      </c>
      <c r="AP622" t="s">
        <v>74</v>
      </c>
      <c r="AQ622" t="s">
        <v>74</v>
      </c>
      <c r="AR622" t="s">
        <v>8186</v>
      </c>
      <c r="AS622" t="s">
        <v>8187</v>
      </c>
      <c r="AT622" t="s">
        <v>74</v>
      </c>
      <c r="AU622">
        <v>2002</v>
      </c>
      <c r="AV622">
        <v>49</v>
      </c>
      <c r="AW622">
        <v>16</v>
      </c>
      <c r="AX622" t="s">
        <v>74</v>
      </c>
      <c r="AY622" t="s">
        <v>74</v>
      </c>
      <c r="AZ622" t="s">
        <v>74</v>
      </c>
      <c r="BA622" t="s">
        <v>74</v>
      </c>
      <c r="BB622">
        <v>3243</v>
      </c>
      <c r="BC622">
        <v>3254</v>
      </c>
      <c r="BD622" t="s">
        <v>8603</v>
      </c>
      <c r="BE622" t="s">
        <v>8604</v>
      </c>
      <c r="BF622" t="str">
        <f>HYPERLINK("http://dx.doi.org/10.1016/S0967-0645(02)00081-4","http://dx.doi.org/10.1016/S0967-0645(02)00081-4")</f>
        <v>http://dx.doi.org/10.1016/S0967-0645(02)00081-4</v>
      </c>
      <c r="BG622" t="s">
        <v>74</v>
      </c>
      <c r="BH622" t="s">
        <v>74</v>
      </c>
      <c r="BI622">
        <v>12</v>
      </c>
      <c r="BJ622" t="s">
        <v>1155</v>
      </c>
      <c r="BK622" t="s">
        <v>744</v>
      </c>
      <c r="BL622" t="s">
        <v>1155</v>
      </c>
      <c r="BM622" t="s">
        <v>8550</v>
      </c>
      <c r="BN622" t="s">
        <v>74</v>
      </c>
      <c r="BO622" t="s">
        <v>74</v>
      </c>
      <c r="BP622" t="s">
        <v>74</v>
      </c>
      <c r="BQ622" t="s">
        <v>74</v>
      </c>
      <c r="BR622" t="s">
        <v>107</v>
      </c>
      <c r="BS622" t="s">
        <v>8605</v>
      </c>
      <c r="BT622" t="str">
        <f>HYPERLINK("https%3A%2F%2Fwww.webofscience.com%2Fwos%2Fwoscc%2Ffull-record%2FWOS:000176691300009","View Full Record in Web of Science")</f>
        <v>View Full Record in Web of Science</v>
      </c>
    </row>
    <row r="623" spans="1:72" x14ac:dyDescent="0.15">
      <c r="A623" t="s">
        <v>72</v>
      </c>
      <c r="B623" t="s">
        <v>8606</v>
      </c>
      <c r="C623" t="s">
        <v>74</v>
      </c>
      <c r="D623" t="s">
        <v>74</v>
      </c>
      <c r="E623" t="s">
        <v>74</v>
      </c>
      <c r="F623" t="s">
        <v>8606</v>
      </c>
      <c r="G623" t="s">
        <v>74</v>
      </c>
      <c r="H623" t="s">
        <v>74</v>
      </c>
      <c r="I623" t="s">
        <v>8607</v>
      </c>
      <c r="J623" t="s">
        <v>8176</v>
      </c>
      <c r="K623" t="s">
        <v>74</v>
      </c>
      <c r="L623" t="s">
        <v>74</v>
      </c>
      <c r="M623" t="s">
        <v>77</v>
      </c>
      <c r="N623" t="s">
        <v>78</v>
      </c>
      <c r="O623" t="s">
        <v>8539</v>
      </c>
      <c r="P623" t="s">
        <v>8381</v>
      </c>
      <c r="Q623" t="s">
        <v>7942</v>
      </c>
      <c r="R623" t="s">
        <v>74</v>
      </c>
      <c r="S623" t="s">
        <v>74</v>
      </c>
      <c r="T623" t="s">
        <v>74</v>
      </c>
      <c r="U623" t="s">
        <v>8608</v>
      </c>
      <c r="V623" t="s">
        <v>8609</v>
      </c>
      <c r="W623" t="s">
        <v>8610</v>
      </c>
      <c r="X623" t="s">
        <v>8611</v>
      </c>
      <c r="Y623" t="s">
        <v>8612</v>
      </c>
      <c r="Z623" t="s">
        <v>8613</v>
      </c>
      <c r="AA623" t="s">
        <v>8614</v>
      </c>
      <c r="AB623" t="s">
        <v>8615</v>
      </c>
      <c r="AC623" t="s">
        <v>74</v>
      </c>
      <c r="AD623" t="s">
        <v>74</v>
      </c>
      <c r="AE623" t="s">
        <v>74</v>
      </c>
      <c r="AF623" t="s">
        <v>74</v>
      </c>
      <c r="AG623">
        <v>49</v>
      </c>
      <c r="AH623">
        <v>39</v>
      </c>
      <c r="AI623">
        <v>41</v>
      </c>
      <c r="AJ623">
        <v>1</v>
      </c>
      <c r="AK623">
        <v>10</v>
      </c>
      <c r="AL623" t="s">
        <v>1013</v>
      </c>
      <c r="AM623" t="s">
        <v>895</v>
      </c>
      <c r="AN623" t="s">
        <v>1014</v>
      </c>
      <c r="AO623" t="s">
        <v>8184</v>
      </c>
      <c r="AP623" t="s">
        <v>74</v>
      </c>
      <c r="AQ623" t="s">
        <v>74</v>
      </c>
      <c r="AR623" t="s">
        <v>8186</v>
      </c>
      <c r="AS623" t="s">
        <v>8187</v>
      </c>
      <c r="AT623" t="s">
        <v>74</v>
      </c>
      <c r="AU623">
        <v>2002</v>
      </c>
      <c r="AV623">
        <v>49</v>
      </c>
      <c r="AW623">
        <v>16</v>
      </c>
      <c r="AX623" t="s">
        <v>74</v>
      </c>
      <c r="AY623" t="s">
        <v>74</v>
      </c>
      <c r="AZ623" t="s">
        <v>74</v>
      </c>
      <c r="BA623" t="s">
        <v>74</v>
      </c>
      <c r="BB623">
        <v>3255</v>
      </c>
      <c r="BC623">
        <v>3273</v>
      </c>
      <c r="BD623" t="s">
        <v>8616</v>
      </c>
      <c r="BE623" t="s">
        <v>8617</v>
      </c>
      <c r="BF623" t="str">
        <f>HYPERLINK("http://dx.doi.org/10.1016/S0967-0645(02)00082-6","http://dx.doi.org/10.1016/S0967-0645(02)00082-6")</f>
        <v>http://dx.doi.org/10.1016/S0967-0645(02)00082-6</v>
      </c>
      <c r="BG623" t="s">
        <v>74</v>
      </c>
      <c r="BH623" t="s">
        <v>74</v>
      </c>
      <c r="BI623">
        <v>19</v>
      </c>
      <c r="BJ623" t="s">
        <v>1155</v>
      </c>
      <c r="BK623" t="s">
        <v>103</v>
      </c>
      <c r="BL623" t="s">
        <v>1155</v>
      </c>
      <c r="BM623" t="s">
        <v>8550</v>
      </c>
      <c r="BN623" t="s">
        <v>74</v>
      </c>
      <c r="BO623" t="s">
        <v>74</v>
      </c>
      <c r="BP623" t="s">
        <v>74</v>
      </c>
      <c r="BQ623" t="s">
        <v>74</v>
      </c>
      <c r="BR623" t="s">
        <v>107</v>
      </c>
      <c r="BS623" t="s">
        <v>8618</v>
      </c>
      <c r="BT623" t="str">
        <f>HYPERLINK("https%3A%2F%2Fwww.webofscience.com%2Fwos%2Fwoscc%2Ffull-record%2FWOS:000176691300010","View Full Record in Web of Science")</f>
        <v>View Full Record in Web of Science</v>
      </c>
    </row>
    <row r="624" spans="1:72" x14ac:dyDescent="0.15">
      <c r="A624" t="s">
        <v>72</v>
      </c>
      <c r="B624" t="s">
        <v>8619</v>
      </c>
      <c r="C624" t="s">
        <v>74</v>
      </c>
      <c r="D624" t="s">
        <v>74</v>
      </c>
      <c r="E624" t="s">
        <v>74</v>
      </c>
      <c r="F624" t="s">
        <v>8619</v>
      </c>
      <c r="G624" t="s">
        <v>74</v>
      </c>
      <c r="H624" t="s">
        <v>74</v>
      </c>
      <c r="I624" t="s">
        <v>8620</v>
      </c>
      <c r="J624" t="s">
        <v>8176</v>
      </c>
      <c r="K624" t="s">
        <v>74</v>
      </c>
      <c r="L624" t="s">
        <v>74</v>
      </c>
      <c r="M624" t="s">
        <v>77</v>
      </c>
      <c r="N624" t="s">
        <v>78</v>
      </c>
      <c r="O624" t="s">
        <v>8539</v>
      </c>
      <c r="P624" t="s">
        <v>8381</v>
      </c>
      <c r="Q624" t="s">
        <v>7942</v>
      </c>
      <c r="R624" t="s">
        <v>74</v>
      </c>
      <c r="S624" t="s">
        <v>74</v>
      </c>
      <c r="T624" t="s">
        <v>74</v>
      </c>
      <c r="U624" t="s">
        <v>8621</v>
      </c>
      <c r="V624" t="s">
        <v>8622</v>
      </c>
      <c r="W624" t="s">
        <v>8623</v>
      </c>
      <c r="X624" t="s">
        <v>5452</v>
      </c>
      <c r="Y624" t="s">
        <v>8624</v>
      </c>
      <c r="Z624" t="s">
        <v>74</v>
      </c>
      <c r="AA624" t="s">
        <v>8625</v>
      </c>
      <c r="AB624" t="s">
        <v>8626</v>
      </c>
      <c r="AC624" t="s">
        <v>74</v>
      </c>
      <c r="AD624" t="s">
        <v>74</v>
      </c>
      <c r="AE624" t="s">
        <v>74</v>
      </c>
      <c r="AF624" t="s">
        <v>74</v>
      </c>
      <c r="AG624">
        <v>43</v>
      </c>
      <c r="AH624">
        <v>26</v>
      </c>
      <c r="AI624">
        <v>37</v>
      </c>
      <c r="AJ624">
        <v>1</v>
      </c>
      <c r="AK624">
        <v>17</v>
      </c>
      <c r="AL624" t="s">
        <v>1013</v>
      </c>
      <c r="AM624" t="s">
        <v>895</v>
      </c>
      <c r="AN624" t="s">
        <v>1014</v>
      </c>
      <c r="AO624" t="s">
        <v>8184</v>
      </c>
      <c r="AP624" t="s">
        <v>74</v>
      </c>
      <c r="AQ624" t="s">
        <v>74</v>
      </c>
      <c r="AR624" t="s">
        <v>8186</v>
      </c>
      <c r="AS624" t="s">
        <v>8187</v>
      </c>
      <c r="AT624" t="s">
        <v>74</v>
      </c>
      <c r="AU624">
        <v>2002</v>
      </c>
      <c r="AV624">
        <v>49</v>
      </c>
      <c r="AW624">
        <v>16</v>
      </c>
      <c r="AX624" t="s">
        <v>74</v>
      </c>
      <c r="AY624" t="s">
        <v>74</v>
      </c>
      <c r="AZ624" t="s">
        <v>74</v>
      </c>
      <c r="BA624" t="s">
        <v>74</v>
      </c>
      <c r="BB624">
        <v>3275</v>
      </c>
      <c r="BC624">
        <v>3287</v>
      </c>
      <c r="BD624" t="s">
        <v>8627</v>
      </c>
      <c r="BE624" t="s">
        <v>8628</v>
      </c>
      <c r="BF624" t="str">
        <f>HYPERLINK("http://dx.doi.org/10.1016/S0967-0645(02)00083-8","http://dx.doi.org/10.1016/S0967-0645(02)00083-8")</f>
        <v>http://dx.doi.org/10.1016/S0967-0645(02)00083-8</v>
      </c>
      <c r="BG624" t="s">
        <v>74</v>
      </c>
      <c r="BH624" t="s">
        <v>74</v>
      </c>
      <c r="BI624">
        <v>13</v>
      </c>
      <c r="BJ624" t="s">
        <v>1155</v>
      </c>
      <c r="BK624" t="s">
        <v>744</v>
      </c>
      <c r="BL624" t="s">
        <v>1155</v>
      </c>
      <c r="BM624" t="s">
        <v>8550</v>
      </c>
      <c r="BN624" t="s">
        <v>74</v>
      </c>
      <c r="BO624" t="s">
        <v>74</v>
      </c>
      <c r="BP624" t="s">
        <v>74</v>
      </c>
      <c r="BQ624" t="s">
        <v>74</v>
      </c>
      <c r="BR624" t="s">
        <v>107</v>
      </c>
      <c r="BS624" t="s">
        <v>8629</v>
      </c>
      <c r="BT624" t="str">
        <f>HYPERLINK("https%3A%2F%2Fwww.webofscience.com%2Fwos%2Fwoscc%2Ffull-record%2FWOS:000176691300011","View Full Record in Web of Science")</f>
        <v>View Full Record in Web of Science</v>
      </c>
    </row>
    <row r="625" spans="1:72" x14ac:dyDescent="0.15">
      <c r="A625" t="s">
        <v>72</v>
      </c>
      <c r="B625" t="s">
        <v>8630</v>
      </c>
      <c r="C625" t="s">
        <v>74</v>
      </c>
      <c r="D625" t="s">
        <v>74</v>
      </c>
      <c r="E625" t="s">
        <v>74</v>
      </c>
      <c r="F625" t="s">
        <v>8630</v>
      </c>
      <c r="G625" t="s">
        <v>74</v>
      </c>
      <c r="H625" t="s">
        <v>74</v>
      </c>
      <c r="I625" t="s">
        <v>8631</v>
      </c>
      <c r="J625" t="s">
        <v>8176</v>
      </c>
      <c r="K625" t="s">
        <v>74</v>
      </c>
      <c r="L625" t="s">
        <v>74</v>
      </c>
      <c r="M625" t="s">
        <v>77</v>
      </c>
      <c r="N625" t="s">
        <v>78</v>
      </c>
      <c r="O625" t="s">
        <v>8539</v>
      </c>
      <c r="P625" t="s">
        <v>8381</v>
      </c>
      <c r="Q625" t="s">
        <v>7942</v>
      </c>
      <c r="R625" t="s">
        <v>74</v>
      </c>
      <c r="S625" t="s">
        <v>74</v>
      </c>
      <c r="T625" t="s">
        <v>74</v>
      </c>
      <c r="U625" t="s">
        <v>8632</v>
      </c>
      <c r="V625" t="s">
        <v>8633</v>
      </c>
      <c r="W625" t="s">
        <v>5222</v>
      </c>
      <c r="X625" t="s">
        <v>5223</v>
      </c>
      <c r="Y625" t="s">
        <v>8634</v>
      </c>
      <c r="Z625" t="s">
        <v>74</v>
      </c>
      <c r="AA625" t="s">
        <v>74</v>
      </c>
      <c r="AB625" t="s">
        <v>74</v>
      </c>
      <c r="AC625" t="s">
        <v>74</v>
      </c>
      <c r="AD625" t="s">
        <v>74</v>
      </c>
      <c r="AE625" t="s">
        <v>74</v>
      </c>
      <c r="AF625" t="s">
        <v>74</v>
      </c>
      <c r="AG625">
        <v>33</v>
      </c>
      <c r="AH625">
        <v>201</v>
      </c>
      <c r="AI625">
        <v>204</v>
      </c>
      <c r="AJ625">
        <v>0</v>
      </c>
      <c r="AK625">
        <v>28</v>
      </c>
      <c r="AL625" t="s">
        <v>1013</v>
      </c>
      <c r="AM625" t="s">
        <v>895</v>
      </c>
      <c r="AN625" t="s">
        <v>1014</v>
      </c>
      <c r="AO625" t="s">
        <v>8184</v>
      </c>
      <c r="AP625" t="s">
        <v>74</v>
      </c>
      <c r="AQ625" t="s">
        <v>74</v>
      </c>
      <c r="AR625" t="s">
        <v>8186</v>
      </c>
      <c r="AS625" t="s">
        <v>8187</v>
      </c>
      <c r="AT625" t="s">
        <v>74</v>
      </c>
      <c r="AU625">
        <v>2002</v>
      </c>
      <c r="AV625">
        <v>49</v>
      </c>
      <c r="AW625">
        <v>16</v>
      </c>
      <c r="AX625" t="s">
        <v>74</v>
      </c>
      <c r="AY625" t="s">
        <v>74</v>
      </c>
      <c r="AZ625" t="s">
        <v>74</v>
      </c>
      <c r="BA625" t="s">
        <v>74</v>
      </c>
      <c r="BB625">
        <v>3289</v>
      </c>
      <c r="BC625">
        <v>3305</v>
      </c>
      <c r="BD625" t="s">
        <v>8635</v>
      </c>
      <c r="BE625" t="s">
        <v>8636</v>
      </c>
      <c r="BF625" t="str">
        <f>HYPERLINK("http://dx.doi.org/10.1016/S0967-0645(02)00084-X","http://dx.doi.org/10.1016/S0967-0645(02)00084-X")</f>
        <v>http://dx.doi.org/10.1016/S0967-0645(02)00084-X</v>
      </c>
      <c r="BG625" t="s">
        <v>74</v>
      </c>
      <c r="BH625" t="s">
        <v>74</v>
      </c>
      <c r="BI625">
        <v>17</v>
      </c>
      <c r="BJ625" t="s">
        <v>1155</v>
      </c>
      <c r="BK625" t="s">
        <v>744</v>
      </c>
      <c r="BL625" t="s">
        <v>1155</v>
      </c>
      <c r="BM625" t="s">
        <v>8550</v>
      </c>
      <c r="BN625" t="s">
        <v>74</v>
      </c>
      <c r="BO625" t="s">
        <v>74</v>
      </c>
      <c r="BP625" t="s">
        <v>74</v>
      </c>
      <c r="BQ625" t="s">
        <v>74</v>
      </c>
      <c r="BR625" t="s">
        <v>107</v>
      </c>
      <c r="BS625" t="s">
        <v>8637</v>
      </c>
      <c r="BT625" t="str">
        <f>HYPERLINK("https%3A%2F%2Fwww.webofscience.com%2Fwos%2Fwoscc%2Ffull-record%2FWOS:000176691300012","View Full Record in Web of Science")</f>
        <v>View Full Record in Web of Science</v>
      </c>
    </row>
    <row r="626" spans="1:72" x14ac:dyDescent="0.15">
      <c r="A626" t="s">
        <v>72</v>
      </c>
      <c r="B626" t="s">
        <v>8638</v>
      </c>
      <c r="C626" t="s">
        <v>74</v>
      </c>
      <c r="D626" t="s">
        <v>74</v>
      </c>
      <c r="E626" t="s">
        <v>74</v>
      </c>
      <c r="F626" t="s">
        <v>8638</v>
      </c>
      <c r="G626" t="s">
        <v>74</v>
      </c>
      <c r="H626" t="s">
        <v>74</v>
      </c>
      <c r="I626" t="s">
        <v>8639</v>
      </c>
      <c r="J626" t="s">
        <v>8176</v>
      </c>
      <c r="K626" t="s">
        <v>74</v>
      </c>
      <c r="L626" t="s">
        <v>74</v>
      </c>
      <c r="M626" t="s">
        <v>77</v>
      </c>
      <c r="N626" t="s">
        <v>78</v>
      </c>
      <c r="O626" t="s">
        <v>8539</v>
      </c>
      <c r="P626" t="s">
        <v>8381</v>
      </c>
      <c r="Q626" t="s">
        <v>7942</v>
      </c>
      <c r="R626" t="s">
        <v>74</v>
      </c>
      <c r="S626" t="s">
        <v>74</v>
      </c>
      <c r="T626" t="s">
        <v>74</v>
      </c>
      <c r="U626" t="s">
        <v>8640</v>
      </c>
      <c r="V626" t="s">
        <v>8641</v>
      </c>
      <c r="W626" t="s">
        <v>8642</v>
      </c>
      <c r="X626" t="s">
        <v>8643</v>
      </c>
      <c r="Y626" t="s">
        <v>8644</v>
      </c>
      <c r="Z626" t="s">
        <v>74</v>
      </c>
      <c r="AA626" t="s">
        <v>8645</v>
      </c>
      <c r="AB626" t="s">
        <v>8646</v>
      </c>
      <c r="AC626" t="s">
        <v>74</v>
      </c>
      <c r="AD626" t="s">
        <v>74</v>
      </c>
      <c r="AE626" t="s">
        <v>74</v>
      </c>
      <c r="AF626" t="s">
        <v>74</v>
      </c>
      <c r="AG626">
        <v>59</v>
      </c>
      <c r="AH626">
        <v>14</v>
      </c>
      <c r="AI626">
        <v>17</v>
      </c>
      <c r="AJ626">
        <v>0</v>
      </c>
      <c r="AK626">
        <v>5</v>
      </c>
      <c r="AL626" t="s">
        <v>1013</v>
      </c>
      <c r="AM626" t="s">
        <v>895</v>
      </c>
      <c r="AN626" t="s">
        <v>1014</v>
      </c>
      <c r="AO626" t="s">
        <v>8184</v>
      </c>
      <c r="AP626" t="s">
        <v>74</v>
      </c>
      <c r="AQ626" t="s">
        <v>74</v>
      </c>
      <c r="AR626" t="s">
        <v>8186</v>
      </c>
      <c r="AS626" t="s">
        <v>8187</v>
      </c>
      <c r="AT626" t="s">
        <v>74</v>
      </c>
      <c r="AU626">
        <v>2002</v>
      </c>
      <c r="AV626">
        <v>49</v>
      </c>
      <c r="AW626">
        <v>16</v>
      </c>
      <c r="AX626" t="s">
        <v>74</v>
      </c>
      <c r="AY626" t="s">
        <v>74</v>
      </c>
      <c r="AZ626" t="s">
        <v>74</v>
      </c>
      <c r="BA626" t="s">
        <v>74</v>
      </c>
      <c r="BB626">
        <v>3307</v>
      </c>
      <c r="BC626">
        <v>3325</v>
      </c>
      <c r="BD626" t="s">
        <v>8647</v>
      </c>
      <c r="BE626" t="s">
        <v>8648</v>
      </c>
      <c r="BF626" t="str">
        <f>HYPERLINK("http://dx.doi.org/10.1016/S0967-0645(02)00085-1","http://dx.doi.org/10.1016/S0967-0645(02)00085-1")</f>
        <v>http://dx.doi.org/10.1016/S0967-0645(02)00085-1</v>
      </c>
      <c r="BG626" t="s">
        <v>74</v>
      </c>
      <c r="BH626" t="s">
        <v>74</v>
      </c>
      <c r="BI626">
        <v>19</v>
      </c>
      <c r="BJ626" t="s">
        <v>1155</v>
      </c>
      <c r="BK626" t="s">
        <v>744</v>
      </c>
      <c r="BL626" t="s">
        <v>1155</v>
      </c>
      <c r="BM626" t="s">
        <v>8550</v>
      </c>
      <c r="BN626" t="s">
        <v>74</v>
      </c>
      <c r="BO626" t="s">
        <v>74</v>
      </c>
      <c r="BP626" t="s">
        <v>74</v>
      </c>
      <c r="BQ626" t="s">
        <v>74</v>
      </c>
      <c r="BR626" t="s">
        <v>107</v>
      </c>
      <c r="BS626" t="s">
        <v>8649</v>
      </c>
      <c r="BT626" t="str">
        <f>HYPERLINK("https%3A%2F%2Fwww.webofscience.com%2Fwos%2Fwoscc%2Ffull-record%2FWOS:000176691300013","View Full Record in Web of Science")</f>
        <v>View Full Record in Web of Science</v>
      </c>
    </row>
    <row r="627" spans="1:72" x14ac:dyDescent="0.15">
      <c r="A627" t="s">
        <v>72</v>
      </c>
      <c r="B627" t="s">
        <v>8650</v>
      </c>
      <c r="C627" t="s">
        <v>74</v>
      </c>
      <c r="D627" t="s">
        <v>74</v>
      </c>
      <c r="E627" t="s">
        <v>74</v>
      </c>
      <c r="F627" t="s">
        <v>8650</v>
      </c>
      <c r="G627" t="s">
        <v>74</v>
      </c>
      <c r="H627" t="s">
        <v>74</v>
      </c>
      <c r="I627" t="s">
        <v>8651</v>
      </c>
      <c r="J627" t="s">
        <v>8176</v>
      </c>
      <c r="K627" t="s">
        <v>74</v>
      </c>
      <c r="L627" t="s">
        <v>74</v>
      </c>
      <c r="M627" t="s">
        <v>77</v>
      </c>
      <c r="N627" t="s">
        <v>78</v>
      </c>
      <c r="O627" t="s">
        <v>8539</v>
      </c>
      <c r="P627" t="s">
        <v>8381</v>
      </c>
      <c r="Q627" t="s">
        <v>7942</v>
      </c>
      <c r="R627" t="s">
        <v>74</v>
      </c>
      <c r="S627" t="s">
        <v>74</v>
      </c>
      <c r="T627" t="s">
        <v>74</v>
      </c>
      <c r="U627" t="s">
        <v>8652</v>
      </c>
      <c r="V627" t="s">
        <v>8653</v>
      </c>
      <c r="W627" t="s">
        <v>8654</v>
      </c>
      <c r="X627" t="s">
        <v>8655</v>
      </c>
      <c r="Y627" t="s">
        <v>8656</v>
      </c>
      <c r="Z627" t="s">
        <v>74</v>
      </c>
      <c r="AA627" t="s">
        <v>8657</v>
      </c>
      <c r="AB627" t="s">
        <v>8658</v>
      </c>
      <c r="AC627" t="s">
        <v>74</v>
      </c>
      <c r="AD627" t="s">
        <v>74</v>
      </c>
      <c r="AE627" t="s">
        <v>74</v>
      </c>
      <c r="AF627" t="s">
        <v>74</v>
      </c>
      <c r="AG627">
        <v>68</v>
      </c>
      <c r="AH627">
        <v>62</v>
      </c>
      <c r="AI627">
        <v>64</v>
      </c>
      <c r="AJ627">
        <v>0</v>
      </c>
      <c r="AK627">
        <v>8</v>
      </c>
      <c r="AL627" t="s">
        <v>1013</v>
      </c>
      <c r="AM627" t="s">
        <v>895</v>
      </c>
      <c r="AN627" t="s">
        <v>1014</v>
      </c>
      <c r="AO627" t="s">
        <v>8184</v>
      </c>
      <c r="AP627" t="s">
        <v>74</v>
      </c>
      <c r="AQ627" t="s">
        <v>74</v>
      </c>
      <c r="AR627" t="s">
        <v>8186</v>
      </c>
      <c r="AS627" t="s">
        <v>8187</v>
      </c>
      <c r="AT627" t="s">
        <v>74</v>
      </c>
      <c r="AU627">
        <v>2002</v>
      </c>
      <c r="AV627">
        <v>49</v>
      </c>
      <c r="AW627">
        <v>16</v>
      </c>
      <c r="AX627" t="s">
        <v>74</v>
      </c>
      <c r="AY627" t="s">
        <v>74</v>
      </c>
      <c r="AZ627" t="s">
        <v>74</v>
      </c>
      <c r="BA627" t="s">
        <v>74</v>
      </c>
      <c r="BB627">
        <v>3327</v>
      </c>
      <c r="BC627">
        <v>3349</v>
      </c>
      <c r="BD627" t="s">
        <v>8659</v>
      </c>
      <c r="BE627" t="s">
        <v>8660</v>
      </c>
      <c r="BF627" t="str">
        <f>HYPERLINK("http://dx.doi.org/10.1016/S0967-0645(02)00086-3","http://dx.doi.org/10.1016/S0967-0645(02)00086-3")</f>
        <v>http://dx.doi.org/10.1016/S0967-0645(02)00086-3</v>
      </c>
      <c r="BG627" t="s">
        <v>74</v>
      </c>
      <c r="BH627" t="s">
        <v>74</v>
      </c>
      <c r="BI627">
        <v>23</v>
      </c>
      <c r="BJ627" t="s">
        <v>1155</v>
      </c>
      <c r="BK627" t="s">
        <v>744</v>
      </c>
      <c r="BL627" t="s">
        <v>1155</v>
      </c>
      <c r="BM627" t="s">
        <v>8550</v>
      </c>
      <c r="BN627" t="s">
        <v>74</v>
      </c>
      <c r="BO627" t="s">
        <v>74</v>
      </c>
      <c r="BP627" t="s">
        <v>74</v>
      </c>
      <c r="BQ627" t="s">
        <v>74</v>
      </c>
      <c r="BR627" t="s">
        <v>107</v>
      </c>
      <c r="BS627" t="s">
        <v>8661</v>
      </c>
      <c r="BT627" t="str">
        <f>HYPERLINK("https%3A%2F%2Fwww.webofscience.com%2Fwos%2Fwoscc%2Ffull-record%2FWOS:000176691300014","View Full Record in Web of Science")</f>
        <v>View Full Record in Web of Science</v>
      </c>
    </row>
    <row r="628" spans="1:72" x14ac:dyDescent="0.15">
      <c r="A628" t="s">
        <v>72</v>
      </c>
      <c r="B628" t="s">
        <v>8662</v>
      </c>
      <c r="C628" t="s">
        <v>74</v>
      </c>
      <c r="D628" t="s">
        <v>74</v>
      </c>
      <c r="E628" t="s">
        <v>74</v>
      </c>
      <c r="F628" t="s">
        <v>8662</v>
      </c>
      <c r="G628" t="s">
        <v>74</v>
      </c>
      <c r="H628" t="s">
        <v>74</v>
      </c>
      <c r="I628" t="s">
        <v>8663</v>
      </c>
      <c r="J628" t="s">
        <v>8176</v>
      </c>
      <c r="K628" t="s">
        <v>74</v>
      </c>
      <c r="L628" t="s">
        <v>74</v>
      </c>
      <c r="M628" t="s">
        <v>77</v>
      </c>
      <c r="N628" t="s">
        <v>78</v>
      </c>
      <c r="O628" t="s">
        <v>8539</v>
      </c>
      <c r="P628" t="s">
        <v>8381</v>
      </c>
      <c r="Q628" t="s">
        <v>7942</v>
      </c>
      <c r="R628" t="s">
        <v>74</v>
      </c>
      <c r="S628" t="s">
        <v>74</v>
      </c>
      <c r="T628" t="s">
        <v>74</v>
      </c>
      <c r="U628" t="s">
        <v>8664</v>
      </c>
      <c r="V628" t="s">
        <v>8665</v>
      </c>
      <c r="W628" t="s">
        <v>8666</v>
      </c>
      <c r="X628" t="s">
        <v>8667</v>
      </c>
      <c r="Y628" t="s">
        <v>8668</v>
      </c>
      <c r="Z628" t="s">
        <v>8669</v>
      </c>
      <c r="AA628" t="s">
        <v>8670</v>
      </c>
      <c r="AB628" t="s">
        <v>8671</v>
      </c>
      <c r="AC628" t="s">
        <v>74</v>
      </c>
      <c r="AD628" t="s">
        <v>74</v>
      </c>
      <c r="AE628" t="s">
        <v>74</v>
      </c>
      <c r="AF628" t="s">
        <v>74</v>
      </c>
      <c r="AG628">
        <v>44</v>
      </c>
      <c r="AH628">
        <v>36</v>
      </c>
      <c r="AI628">
        <v>41</v>
      </c>
      <c r="AJ628">
        <v>0</v>
      </c>
      <c r="AK628">
        <v>11</v>
      </c>
      <c r="AL628" t="s">
        <v>1013</v>
      </c>
      <c r="AM628" t="s">
        <v>895</v>
      </c>
      <c r="AN628" t="s">
        <v>1014</v>
      </c>
      <c r="AO628" t="s">
        <v>8184</v>
      </c>
      <c r="AP628" t="s">
        <v>8185</v>
      </c>
      <c r="AQ628" t="s">
        <v>74</v>
      </c>
      <c r="AR628" t="s">
        <v>8186</v>
      </c>
      <c r="AS628" t="s">
        <v>8187</v>
      </c>
      <c r="AT628" t="s">
        <v>74</v>
      </c>
      <c r="AU628">
        <v>2002</v>
      </c>
      <c r="AV628">
        <v>49</v>
      </c>
      <c r="AW628">
        <v>16</v>
      </c>
      <c r="AX628" t="s">
        <v>74</v>
      </c>
      <c r="AY628" t="s">
        <v>74</v>
      </c>
      <c r="AZ628" t="s">
        <v>74</v>
      </c>
      <c r="BA628" t="s">
        <v>74</v>
      </c>
      <c r="BB628">
        <v>3351</v>
      </c>
      <c r="BC628">
        <v>3363</v>
      </c>
      <c r="BD628" t="s">
        <v>8672</v>
      </c>
      <c r="BE628" t="s">
        <v>8673</v>
      </c>
      <c r="BF628" t="str">
        <f>HYPERLINK("http://dx.doi.org/10.1016/S0967-0645(02)00087-5","http://dx.doi.org/10.1016/S0967-0645(02)00087-5")</f>
        <v>http://dx.doi.org/10.1016/S0967-0645(02)00087-5</v>
      </c>
      <c r="BG628" t="s">
        <v>74</v>
      </c>
      <c r="BH628" t="s">
        <v>74</v>
      </c>
      <c r="BI628">
        <v>13</v>
      </c>
      <c r="BJ628" t="s">
        <v>1155</v>
      </c>
      <c r="BK628" t="s">
        <v>103</v>
      </c>
      <c r="BL628" t="s">
        <v>1155</v>
      </c>
      <c r="BM628" t="s">
        <v>8550</v>
      </c>
      <c r="BN628" t="s">
        <v>74</v>
      </c>
      <c r="BO628" t="s">
        <v>106</v>
      </c>
      <c r="BP628" t="s">
        <v>74</v>
      </c>
      <c r="BQ628" t="s">
        <v>74</v>
      </c>
      <c r="BR628" t="s">
        <v>107</v>
      </c>
      <c r="BS628" t="s">
        <v>8674</v>
      </c>
      <c r="BT628" t="str">
        <f>HYPERLINK("https%3A%2F%2Fwww.webofscience.com%2Fwos%2Fwoscc%2Ffull-record%2FWOS:000176691300015","View Full Record in Web of Science")</f>
        <v>View Full Record in Web of Science</v>
      </c>
    </row>
    <row r="629" spans="1:72" x14ac:dyDescent="0.15">
      <c r="A629" t="s">
        <v>72</v>
      </c>
      <c r="B629" t="s">
        <v>8675</v>
      </c>
      <c r="C629" t="s">
        <v>74</v>
      </c>
      <c r="D629" t="s">
        <v>74</v>
      </c>
      <c r="E629" t="s">
        <v>74</v>
      </c>
      <c r="F629" t="s">
        <v>8675</v>
      </c>
      <c r="G629" t="s">
        <v>74</v>
      </c>
      <c r="H629" t="s">
        <v>74</v>
      </c>
      <c r="I629" t="s">
        <v>8676</v>
      </c>
      <c r="J629" t="s">
        <v>8176</v>
      </c>
      <c r="K629" t="s">
        <v>74</v>
      </c>
      <c r="L629" t="s">
        <v>74</v>
      </c>
      <c r="M629" t="s">
        <v>77</v>
      </c>
      <c r="N629" t="s">
        <v>78</v>
      </c>
      <c r="O629" t="s">
        <v>8539</v>
      </c>
      <c r="P629" t="s">
        <v>8381</v>
      </c>
      <c r="Q629" t="s">
        <v>7942</v>
      </c>
      <c r="R629" t="s">
        <v>74</v>
      </c>
      <c r="S629" t="s">
        <v>74</v>
      </c>
      <c r="T629" t="s">
        <v>74</v>
      </c>
      <c r="U629" t="s">
        <v>8677</v>
      </c>
      <c r="V629" t="s">
        <v>8678</v>
      </c>
      <c r="W629" t="s">
        <v>8679</v>
      </c>
      <c r="X629" t="s">
        <v>8680</v>
      </c>
      <c r="Y629" t="s">
        <v>8681</v>
      </c>
      <c r="Z629" t="s">
        <v>8682</v>
      </c>
      <c r="AA629" t="s">
        <v>74</v>
      </c>
      <c r="AB629" t="s">
        <v>74</v>
      </c>
      <c r="AC629" t="s">
        <v>74</v>
      </c>
      <c r="AD629" t="s">
        <v>74</v>
      </c>
      <c r="AE629" t="s">
        <v>74</v>
      </c>
      <c r="AF629" t="s">
        <v>74</v>
      </c>
      <c r="AG629">
        <v>112</v>
      </c>
      <c r="AH629">
        <v>32</v>
      </c>
      <c r="AI629">
        <v>38</v>
      </c>
      <c r="AJ629">
        <v>0</v>
      </c>
      <c r="AK629">
        <v>25</v>
      </c>
      <c r="AL629" t="s">
        <v>1013</v>
      </c>
      <c r="AM629" t="s">
        <v>895</v>
      </c>
      <c r="AN629" t="s">
        <v>1014</v>
      </c>
      <c r="AO629" t="s">
        <v>8184</v>
      </c>
      <c r="AP629" t="s">
        <v>8185</v>
      </c>
      <c r="AQ629" t="s">
        <v>74</v>
      </c>
      <c r="AR629" t="s">
        <v>8186</v>
      </c>
      <c r="AS629" t="s">
        <v>8187</v>
      </c>
      <c r="AT629" t="s">
        <v>74</v>
      </c>
      <c r="AU629">
        <v>2002</v>
      </c>
      <c r="AV629">
        <v>49</v>
      </c>
      <c r="AW629">
        <v>16</v>
      </c>
      <c r="AX629" t="s">
        <v>74</v>
      </c>
      <c r="AY629" t="s">
        <v>74</v>
      </c>
      <c r="AZ629" t="s">
        <v>74</v>
      </c>
      <c r="BA629" t="s">
        <v>74</v>
      </c>
      <c r="BB629">
        <v>3365</v>
      </c>
      <c r="BC629">
        <v>3390</v>
      </c>
      <c r="BD629" t="s">
        <v>8683</v>
      </c>
      <c r="BE629" t="s">
        <v>8684</v>
      </c>
      <c r="BF629" t="str">
        <f>HYPERLINK("http://dx.doi.org/10.1016/S0967-0645(02)00088-7","http://dx.doi.org/10.1016/S0967-0645(02)00088-7")</f>
        <v>http://dx.doi.org/10.1016/S0967-0645(02)00088-7</v>
      </c>
      <c r="BG629" t="s">
        <v>74</v>
      </c>
      <c r="BH629" t="s">
        <v>74</v>
      </c>
      <c r="BI629">
        <v>26</v>
      </c>
      <c r="BJ629" t="s">
        <v>1155</v>
      </c>
      <c r="BK629" t="s">
        <v>103</v>
      </c>
      <c r="BL629" t="s">
        <v>1155</v>
      </c>
      <c r="BM629" t="s">
        <v>8550</v>
      </c>
      <c r="BN629" t="s">
        <v>74</v>
      </c>
      <c r="BO629" t="s">
        <v>74</v>
      </c>
      <c r="BP629" t="s">
        <v>74</v>
      </c>
      <c r="BQ629" t="s">
        <v>74</v>
      </c>
      <c r="BR629" t="s">
        <v>107</v>
      </c>
      <c r="BS629" t="s">
        <v>8685</v>
      </c>
      <c r="BT629" t="str">
        <f>HYPERLINK("https%3A%2F%2Fwww.webofscience.com%2Fwos%2Fwoscc%2Ffull-record%2FWOS:000176691300016","View Full Record in Web of Science")</f>
        <v>View Full Record in Web of Science</v>
      </c>
    </row>
    <row r="630" spans="1:72" x14ac:dyDescent="0.15">
      <c r="A630" t="s">
        <v>72</v>
      </c>
      <c r="B630" t="s">
        <v>8686</v>
      </c>
      <c r="C630" t="s">
        <v>74</v>
      </c>
      <c r="D630" t="s">
        <v>74</v>
      </c>
      <c r="E630" t="s">
        <v>74</v>
      </c>
      <c r="F630" t="s">
        <v>8686</v>
      </c>
      <c r="G630" t="s">
        <v>74</v>
      </c>
      <c r="H630" t="s">
        <v>74</v>
      </c>
      <c r="I630" t="s">
        <v>8687</v>
      </c>
      <c r="J630" t="s">
        <v>8176</v>
      </c>
      <c r="K630" t="s">
        <v>74</v>
      </c>
      <c r="L630" t="s">
        <v>74</v>
      </c>
      <c r="M630" t="s">
        <v>77</v>
      </c>
      <c r="N630" t="s">
        <v>153</v>
      </c>
      <c r="O630" t="s">
        <v>74</v>
      </c>
      <c r="P630" t="s">
        <v>74</v>
      </c>
      <c r="Q630" t="s">
        <v>74</v>
      </c>
      <c r="R630" t="s">
        <v>74</v>
      </c>
      <c r="S630" t="s">
        <v>74</v>
      </c>
      <c r="T630" t="s">
        <v>74</v>
      </c>
      <c r="U630" t="s">
        <v>8688</v>
      </c>
      <c r="V630" t="s">
        <v>8689</v>
      </c>
      <c r="W630" t="s">
        <v>8690</v>
      </c>
      <c r="X630" t="s">
        <v>8691</v>
      </c>
      <c r="Y630" t="s">
        <v>8692</v>
      </c>
      <c r="Z630" t="s">
        <v>74</v>
      </c>
      <c r="AA630" t="s">
        <v>74</v>
      </c>
      <c r="AB630" t="s">
        <v>8693</v>
      </c>
      <c r="AC630" t="s">
        <v>74</v>
      </c>
      <c r="AD630" t="s">
        <v>74</v>
      </c>
      <c r="AE630" t="s">
        <v>74</v>
      </c>
      <c r="AF630" t="s">
        <v>74</v>
      </c>
      <c r="AG630">
        <v>30</v>
      </c>
      <c r="AH630">
        <v>17</v>
      </c>
      <c r="AI630">
        <v>18</v>
      </c>
      <c r="AJ630">
        <v>0</v>
      </c>
      <c r="AK630">
        <v>1</v>
      </c>
      <c r="AL630" t="s">
        <v>1013</v>
      </c>
      <c r="AM630" t="s">
        <v>895</v>
      </c>
      <c r="AN630" t="s">
        <v>1014</v>
      </c>
      <c r="AO630" t="s">
        <v>8184</v>
      </c>
      <c r="AP630" t="s">
        <v>74</v>
      </c>
      <c r="AQ630" t="s">
        <v>74</v>
      </c>
      <c r="AR630" t="s">
        <v>8186</v>
      </c>
      <c r="AS630" t="s">
        <v>8187</v>
      </c>
      <c r="AT630" t="s">
        <v>74</v>
      </c>
      <c r="AU630">
        <v>2002</v>
      </c>
      <c r="AV630">
        <v>49</v>
      </c>
      <c r="AW630">
        <v>17</v>
      </c>
      <c r="AX630" t="s">
        <v>74</v>
      </c>
      <c r="AY630" t="s">
        <v>74</v>
      </c>
      <c r="AZ630" t="s">
        <v>74</v>
      </c>
      <c r="BA630" t="s">
        <v>74</v>
      </c>
      <c r="BB630">
        <v>3441</v>
      </c>
      <c r="BC630">
        <v>3453</v>
      </c>
      <c r="BD630" t="s">
        <v>8694</v>
      </c>
      <c r="BE630" t="s">
        <v>8695</v>
      </c>
      <c r="BF630" t="str">
        <f>HYPERLINK("http://dx.doi.org/10.1016/S0967-0645(02)00090-5","http://dx.doi.org/10.1016/S0967-0645(02)00090-5")</f>
        <v>http://dx.doi.org/10.1016/S0967-0645(02)00090-5</v>
      </c>
      <c r="BG630" t="s">
        <v>74</v>
      </c>
      <c r="BH630" t="s">
        <v>74</v>
      </c>
      <c r="BI630">
        <v>13</v>
      </c>
      <c r="BJ630" t="s">
        <v>1155</v>
      </c>
      <c r="BK630" t="s">
        <v>170</v>
      </c>
      <c r="BL630" t="s">
        <v>1155</v>
      </c>
      <c r="BM630" t="s">
        <v>8696</v>
      </c>
      <c r="BN630" t="s">
        <v>74</v>
      </c>
      <c r="BO630" t="s">
        <v>74</v>
      </c>
      <c r="BP630" t="s">
        <v>74</v>
      </c>
      <c r="BQ630" t="s">
        <v>74</v>
      </c>
      <c r="BR630" t="s">
        <v>107</v>
      </c>
      <c r="BS630" t="s">
        <v>8697</v>
      </c>
      <c r="BT630" t="str">
        <f>HYPERLINK("https%3A%2F%2Fwww.webofscience.com%2Fwos%2Fwoscc%2Ffull-record%2FWOS:000178183000004","View Full Record in Web of Science")</f>
        <v>View Full Record in Web of Science</v>
      </c>
    </row>
    <row r="631" spans="1:72" x14ac:dyDescent="0.15">
      <c r="A631" t="s">
        <v>72</v>
      </c>
      <c r="B631" t="s">
        <v>8698</v>
      </c>
      <c r="C631" t="s">
        <v>74</v>
      </c>
      <c r="D631" t="s">
        <v>74</v>
      </c>
      <c r="E631" t="s">
        <v>74</v>
      </c>
      <c r="F631" t="s">
        <v>8698</v>
      </c>
      <c r="G631" t="s">
        <v>74</v>
      </c>
      <c r="H631" t="s">
        <v>74</v>
      </c>
      <c r="I631" t="s">
        <v>8699</v>
      </c>
      <c r="J631" t="s">
        <v>8176</v>
      </c>
      <c r="K631" t="s">
        <v>74</v>
      </c>
      <c r="L631" t="s">
        <v>74</v>
      </c>
      <c r="M631" t="s">
        <v>77</v>
      </c>
      <c r="N631" t="s">
        <v>751</v>
      </c>
      <c r="O631" t="s">
        <v>74</v>
      </c>
      <c r="P631" t="s">
        <v>74</v>
      </c>
      <c r="Q631" t="s">
        <v>74</v>
      </c>
      <c r="R631" t="s">
        <v>74</v>
      </c>
      <c r="S631" t="s">
        <v>74</v>
      </c>
      <c r="T631" t="s">
        <v>74</v>
      </c>
      <c r="U631" t="s">
        <v>8700</v>
      </c>
      <c r="V631" t="s">
        <v>74</v>
      </c>
      <c r="W631" t="s">
        <v>4825</v>
      </c>
      <c r="X631" t="s">
        <v>2368</v>
      </c>
      <c r="Y631" t="s">
        <v>8701</v>
      </c>
      <c r="Z631" t="s">
        <v>8702</v>
      </c>
      <c r="AA631" t="s">
        <v>8703</v>
      </c>
      <c r="AB631" t="s">
        <v>8704</v>
      </c>
      <c r="AC631" t="s">
        <v>74</v>
      </c>
      <c r="AD631" t="s">
        <v>74</v>
      </c>
      <c r="AE631" t="s">
        <v>74</v>
      </c>
      <c r="AF631" t="s">
        <v>74</v>
      </c>
      <c r="AG631">
        <v>29</v>
      </c>
      <c r="AH631">
        <v>6</v>
      </c>
      <c r="AI631">
        <v>7</v>
      </c>
      <c r="AJ631">
        <v>0</v>
      </c>
      <c r="AK631">
        <v>7</v>
      </c>
      <c r="AL631" t="s">
        <v>1013</v>
      </c>
      <c r="AM631" t="s">
        <v>895</v>
      </c>
      <c r="AN631" t="s">
        <v>1014</v>
      </c>
      <c r="AO631" t="s">
        <v>8184</v>
      </c>
      <c r="AP631" t="s">
        <v>74</v>
      </c>
      <c r="AQ631" t="s">
        <v>74</v>
      </c>
      <c r="AR631" t="s">
        <v>8186</v>
      </c>
      <c r="AS631" t="s">
        <v>8187</v>
      </c>
      <c r="AT631" t="s">
        <v>74</v>
      </c>
      <c r="AU631">
        <v>2002</v>
      </c>
      <c r="AV631">
        <v>49</v>
      </c>
      <c r="AW631">
        <v>18</v>
      </c>
      <c r="AX631" t="s">
        <v>74</v>
      </c>
      <c r="AY631" t="s">
        <v>74</v>
      </c>
      <c r="AZ631" t="s">
        <v>74</v>
      </c>
      <c r="BA631" t="s">
        <v>74</v>
      </c>
      <c r="BB631">
        <v>3707</v>
      </c>
      <c r="BC631">
        <v>3711</v>
      </c>
      <c r="BD631" t="s">
        <v>8705</v>
      </c>
      <c r="BE631" t="s">
        <v>8706</v>
      </c>
      <c r="BF631" t="str">
        <f>HYPERLINK("http://dx.doi.org/10.1016/S0967-0645(02)00107-8","http://dx.doi.org/10.1016/S0967-0645(02)00107-8")</f>
        <v>http://dx.doi.org/10.1016/S0967-0645(02)00107-8</v>
      </c>
      <c r="BG631" t="s">
        <v>74</v>
      </c>
      <c r="BH631" t="s">
        <v>74</v>
      </c>
      <c r="BI631">
        <v>5</v>
      </c>
      <c r="BJ631" t="s">
        <v>1155</v>
      </c>
      <c r="BK631" t="s">
        <v>170</v>
      </c>
      <c r="BL631" t="s">
        <v>1155</v>
      </c>
      <c r="BM631" t="s">
        <v>8707</v>
      </c>
      <c r="BN631" t="s">
        <v>74</v>
      </c>
      <c r="BO631" t="s">
        <v>74</v>
      </c>
      <c r="BP631" t="s">
        <v>74</v>
      </c>
      <c r="BQ631" t="s">
        <v>74</v>
      </c>
      <c r="BR631" t="s">
        <v>107</v>
      </c>
      <c r="BS631" t="s">
        <v>8708</v>
      </c>
      <c r="BT631" t="str">
        <f>HYPERLINK("https%3A%2F%2Fwww.webofscience.com%2Fwos%2Fwoscc%2Ffull-record%2FWOS:000178262600001","View Full Record in Web of Science")</f>
        <v>View Full Record in Web of Science</v>
      </c>
    </row>
    <row r="632" spans="1:72" x14ac:dyDescent="0.15">
      <c r="A632" t="s">
        <v>72</v>
      </c>
      <c r="B632" t="s">
        <v>8709</v>
      </c>
      <c r="C632" t="s">
        <v>74</v>
      </c>
      <c r="D632" t="s">
        <v>74</v>
      </c>
      <c r="E632" t="s">
        <v>74</v>
      </c>
      <c r="F632" t="s">
        <v>8709</v>
      </c>
      <c r="G632" t="s">
        <v>74</v>
      </c>
      <c r="H632" t="s">
        <v>74</v>
      </c>
      <c r="I632" t="s">
        <v>8710</v>
      </c>
      <c r="J632" t="s">
        <v>8176</v>
      </c>
      <c r="K632" t="s">
        <v>74</v>
      </c>
      <c r="L632" t="s">
        <v>74</v>
      </c>
      <c r="M632" t="s">
        <v>77</v>
      </c>
      <c r="N632" t="s">
        <v>153</v>
      </c>
      <c r="O632" t="s">
        <v>74</v>
      </c>
      <c r="P632" t="s">
        <v>74</v>
      </c>
      <c r="Q632" t="s">
        <v>74</v>
      </c>
      <c r="R632" t="s">
        <v>74</v>
      </c>
      <c r="S632" t="s">
        <v>74</v>
      </c>
      <c r="T632" t="s">
        <v>74</v>
      </c>
      <c r="U632" t="s">
        <v>8711</v>
      </c>
      <c r="V632" t="s">
        <v>8712</v>
      </c>
      <c r="W632" t="s">
        <v>8713</v>
      </c>
      <c r="X632" t="s">
        <v>8714</v>
      </c>
      <c r="Y632" t="s">
        <v>8701</v>
      </c>
      <c r="Z632" t="s">
        <v>74</v>
      </c>
      <c r="AA632" t="s">
        <v>8715</v>
      </c>
      <c r="AB632" t="s">
        <v>8716</v>
      </c>
      <c r="AC632" t="s">
        <v>74</v>
      </c>
      <c r="AD632" t="s">
        <v>74</v>
      </c>
      <c r="AE632" t="s">
        <v>74</v>
      </c>
      <c r="AF632" t="s">
        <v>74</v>
      </c>
      <c r="AG632">
        <v>71</v>
      </c>
      <c r="AH632">
        <v>79</v>
      </c>
      <c r="AI632">
        <v>82</v>
      </c>
      <c r="AJ632">
        <v>0</v>
      </c>
      <c r="AK632">
        <v>17</v>
      </c>
      <c r="AL632" t="s">
        <v>1013</v>
      </c>
      <c r="AM632" t="s">
        <v>895</v>
      </c>
      <c r="AN632" t="s">
        <v>1014</v>
      </c>
      <c r="AO632" t="s">
        <v>8184</v>
      </c>
      <c r="AP632" t="s">
        <v>74</v>
      </c>
      <c r="AQ632" t="s">
        <v>74</v>
      </c>
      <c r="AR632" t="s">
        <v>8186</v>
      </c>
      <c r="AS632" t="s">
        <v>8187</v>
      </c>
      <c r="AT632" t="s">
        <v>74</v>
      </c>
      <c r="AU632">
        <v>2002</v>
      </c>
      <c r="AV632">
        <v>49</v>
      </c>
      <c r="AW632">
        <v>18</v>
      </c>
      <c r="AX632" t="s">
        <v>74</v>
      </c>
      <c r="AY632" t="s">
        <v>74</v>
      </c>
      <c r="AZ632" t="s">
        <v>74</v>
      </c>
      <c r="BA632" t="s">
        <v>74</v>
      </c>
      <c r="BB632">
        <v>3735</v>
      </c>
      <c r="BC632">
        <v>3769</v>
      </c>
      <c r="BD632" t="s">
        <v>8717</v>
      </c>
      <c r="BE632" t="s">
        <v>8718</v>
      </c>
      <c r="BF632" t="str">
        <f>HYPERLINK("http://dx.doi.org/10.1016/S0967-0645(02)00109-1","http://dx.doi.org/10.1016/S0967-0645(02)00109-1")</f>
        <v>http://dx.doi.org/10.1016/S0967-0645(02)00109-1</v>
      </c>
      <c r="BG632" t="s">
        <v>74</v>
      </c>
      <c r="BH632" t="s">
        <v>74</v>
      </c>
      <c r="BI632">
        <v>35</v>
      </c>
      <c r="BJ632" t="s">
        <v>1155</v>
      </c>
      <c r="BK632" t="s">
        <v>170</v>
      </c>
      <c r="BL632" t="s">
        <v>1155</v>
      </c>
      <c r="BM632" t="s">
        <v>8707</v>
      </c>
      <c r="BN632" t="s">
        <v>74</v>
      </c>
      <c r="BO632" t="s">
        <v>74</v>
      </c>
      <c r="BP632" t="s">
        <v>74</v>
      </c>
      <c r="BQ632" t="s">
        <v>74</v>
      </c>
      <c r="BR632" t="s">
        <v>107</v>
      </c>
      <c r="BS632" t="s">
        <v>8719</v>
      </c>
      <c r="BT632" t="str">
        <f>HYPERLINK("https%3A%2F%2Fwww.webofscience.com%2Fwos%2Fwoscc%2Ffull-record%2FWOS:000178262600003","View Full Record in Web of Science")</f>
        <v>View Full Record in Web of Science</v>
      </c>
    </row>
    <row r="633" spans="1:72" x14ac:dyDescent="0.15">
      <c r="A633" t="s">
        <v>72</v>
      </c>
      <c r="B633" t="s">
        <v>8720</v>
      </c>
      <c r="C633" t="s">
        <v>74</v>
      </c>
      <c r="D633" t="s">
        <v>74</v>
      </c>
      <c r="E633" t="s">
        <v>74</v>
      </c>
      <c r="F633" t="s">
        <v>8720</v>
      </c>
      <c r="G633" t="s">
        <v>74</v>
      </c>
      <c r="H633" t="s">
        <v>74</v>
      </c>
      <c r="I633" t="s">
        <v>8721</v>
      </c>
      <c r="J633" t="s">
        <v>8176</v>
      </c>
      <c r="K633" t="s">
        <v>74</v>
      </c>
      <c r="L633" t="s">
        <v>74</v>
      </c>
      <c r="M633" t="s">
        <v>77</v>
      </c>
      <c r="N633" t="s">
        <v>153</v>
      </c>
      <c r="O633" t="s">
        <v>74</v>
      </c>
      <c r="P633" t="s">
        <v>74</v>
      </c>
      <c r="Q633" t="s">
        <v>74</v>
      </c>
      <c r="R633" t="s">
        <v>74</v>
      </c>
      <c r="S633" t="s">
        <v>74</v>
      </c>
      <c r="T633" t="s">
        <v>74</v>
      </c>
      <c r="U633" t="s">
        <v>8722</v>
      </c>
      <c r="V633" t="s">
        <v>8723</v>
      </c>
      <c r="W633" t="s">
        <v>8724</v>
      </c>
      <c r="X633" t="s">
        <v>8725</v>
      </c>
      <c r="Y633" t="s">
        <v>3847</v>
      </c>
      <c r="Z633" t="s">
        <v>74</v>
      </c>
      <c r="AA633" t="s">
        <v>8726</v>
      </c>
      <c r="AB633" t="s">
        <v>8727</v>
      </c>
      <c r="AC633" t="s">
        <v>74</v>
      </c>
      <c r="AD633" t="s">
        <v>74</v>
      </c>
      <c r="AE633" t="s">
        <v>74</v>
      </c>
      <c r="AF633" t="s">
        <v>74</v>
      </c>
      <c r="AG633">
        <v>37</v>
      </c>
      <c r="AH633">
        <v>18</v>
      </c>
      <c r="AI633">
        <v>18</v>
      </c>
      <c r="AJ633">
        <v>0</v>
      </c>
      <c r="AK633">
        <v>5</v>
      </c>
      <c r="AL633" t="s">
        <v>1013</v>
      </c>
      <c r="AM633" t="s">
        <v>895</v>
      </c>
      <c r="AN633" t="s">
        <v>1014</v>
      </c>
      <c r="AO633" t="s">
        <v>8184</v>
      </c>
      <c r="AP633" t="s">
        <v>74</v>
      </c>
      <c r="AQ633" t="s">
        <v>74</v>
      </c>
      <c r="AR633" t="s">
        <v>8186</v>
      </c>
      <c r="AS633" t="s">
        <v>8187</v>
      </c>
      <c r="AT633" t="s">
        <v>74</v>
      </c>
      <c r="AU633">
        <v>2002</v>
      </c>
      <c r="AV633">
        <v>49</v>
      </c>
      <c r="AW633">
        <v>18</v>
      </c>
      <c r="AX633" t="s">
        <v>74</v>
      </c>
      <c r="AY633" t="s">
        <v>74</v>
      </c>
      <c r="AZ633" t="s">
        <v>74</v>
      </c>
      <c r="BA633" t="s">
        <v>74</v>
      </c>
      <c r="BB633">
        <v>3771</v>
      </c>
      <c r="BC633">
        <v>3792</v>
      </c>
      <c r="BD633" t="s">
        <v>8728</v>
      </c>
      <c r="BE633" t="s">
        <v>74</v>
      </c>
      <c r="BF633" t="s">
        <v>74</v>
      </c>
      <c r="BG633" t="s">
        <v>74</v>
      </c>
      <c r="BH633" t="s">
        <v>74</v>
      </c>
      <c r="BI633">
        <v>22</v>
      </c>
      <c r="BJ633" t="s">
        <v>1155</v>
      </c>
      <c r="BK633" t="s">
        <v>170</v>
      </c>
      <c r="BL633" t="s">
        <v>1155</v>
      </c>
      <c r="BM633" t="s">
        <v>8707</v>
      </c>
      <c r="BN633" t="s">
        <v>74</v>
      </c>
      <c r="BO633" t="s">
        <v>74</v>
      </c>
      <c r="BP633" t="s">
        <v>74</v>
      </c>
      <c r="BQ633" t="s">
        <v>74</v>
      </c>
      <c r="BR633" t="s">
        <v>107</v>
      </c>
      <c r="BS633" t="s">
        <v>8729</v>
      </c>
      <c r="BT633" t="str">
        <f>HYPERLINK("https%3A%2F%2Fwww.webofscience.com%2Fwos%2Fwoscc%2Ffull-record%2FWOS:000178262600004","View Full Record in Web of Science")</f>
        <v>View Full Record in Web of Science</v>
      </c>
    </row>
    <row r="634" spans="1:72" x14ac:dyDescent="0.15">
      <c r="A634" t="s">
        <v>72</v>
      </c>
      <c r="B634" t="s">
        <v>8730</v>
      </c>
      <c r="C634" t="s">
        <v>74</v>
      </c>
      <c r="D634" t="s">
        <v>74</v>
      </c>
      <c r="E634" t="s">
        <v>74</v>
      </c>
      <c r="F634" t="s">
        <v>8730</v>
      </c>
      <c r="G634" t="s">
        <v>74</v>
      </c>
      <c r="H634" t="s">
        <v>74</v>
      </c>
      <c r="I634" t="s">
        <v>8731</v>
      </c>
      <c r="J634" t="s">
        <v>8176</v>
      </c>
      <c r="K634" t="s">
        <v>74</v>
      </c>
      <c r="L634" t="s">
        <v>74</v>
      </c>
      <c r="M634" t="s">
        <v>77</v>
      </c>
      <c r="N634" t="s">
        <v>153</v>
      </c>
      <c r="O634" t="s">
        <v>74</v>
      </c>
      <c r="P634" t="s">
        <v>74</v>
      </c>
      <c r="Q634" t="s">
        <v>74</v>
      </c>
      <c r="R634" t="s">
        <v>74</v>
      </c>
      <c r="S634" t="s">
        <v>74</v>
      </c>
      <c r="T634" t="s">
        <v>74</v>
      </c>
      <c r="U634" t="s">
        <v>8732</v>
      </c>
      <c r="V634" t="s">
        <v>8733</v>
      </c>
      <c r="W634" t="s">
        <v>8734</v>
      </c>
      <c r="X634" t="s">
        <v>8735</v>
      </c>
      <c r="Y634" t="s">
        <v>8736</v>
      </c>
      <c r="Z634" t="s">
        <v>8737</v>
      </c>
      <c r="AA634" t="s">
        <v>8738</v>
      </c>
      <c r="AB634" t="s">
        <v>8739</v>
      </c>
      <c r="AC634" t="s">
        <v>74</v>
      </c>
      <c r="AD634" t="s">
        <v>74</v>
      </c>
      <c r="AE634" t="s">
        <v>74</v>
      </c>
      <c r="AF634" t="s">
        <v>74</v>
      </c>
      <c r="AG634">
        <v>57</v>
      </c>
      <c r="AH634">
        <v>35</v>
      </c>
      <c r="AI634">
        <v>37</v>
      </c>
      <c r="AJ634">
        <v>0</v>
      </c>
      <c r="AK634">
        <v>17</v>
      </c>
      <c r="AL634" t="s">
        <v>1013</v>
      </c>
      <c r="AM634" t="s">
        <v>895</v>
      </c>
      <c r="AN634" t="s">
        <v>1014</v>
      </c>
      <c r="AO634" t="s">
        <v>8184</v>
      </c>
      <c r="AP634" t="s">
        <v>8185</v>
      </c>
      <c r="AQ634" t="s">
        <v>74</v>
      </c>
      <c r="AR634" t="s">
        <v>8186</v>
      </c>
      <c r="AS634" t="s">
        <v>8187</v>
      </c>
      <c r="AT634" t="s">
        <v>74</v>
      </c>
      <c r="AU634">
        <v>2002</v>
      </c>
      <c r="AV634">
        <v>49</v>
      </c>
      <c r="AW634">
        <v>18</v>
      </c>
      <c r="AX634" t="s">
        <v>74</v>
      </c>
      <c r="AY634" t="s">
        <v>74</v>
      </c>
      <c r="AZ634" t="s">
        <v>74</v>
      </c>
      <c r="BA634" t="s">
        <v>74</v>
      </c>
      <c r="BB634">
        <v>3793</v>
      </c>
      <c r="BC634">
        <v>3811</v>
      </c>
      <c r="BD634" t="s">
        <v>8740</v>
      </c>
      <c r="BE634" t="s">
        <v>8741</v>
      </c>
      <c r="BF634" t="str">
        <f>HYPERLINK("http://dx.doi.org/10.1016/S0967-0645(02)00111-X","http://dx.doi.org/10.1016/S0967-0645(02)00111-X")</f>
        <v>http://dx.doi.org/10.1016/S0967-0645(02)00111-X</v>
      </c>
      <c r="BG634" t="s">
        <v>74</v>
      </c>
      <c r="BH634" t="s">
        <v>74</v>
      </c>
      <c r="BI634">
        <v>19</v>
      </c>
      <c r="BJ634" t="s">
        <v>1155</v>
      </c>
      <c r="BK634" t="s">
        <v>170</v>
      </c>
      <c r="BL634" t="s">
        <v>1155</v>
      </c>
      <c r="BM634" t="s">
        <v>8707</v>
      </c>
      <c r="BN634" t="s">
        <v>74</v>
      </c>
      <c r="BO634" t="s">
        <v>74</v>
      </c>
      <c r="BP634" t="s">
        <v>74</v>
      </c>
      <c r="BQ634" t="s">
        <v>74</v>
      </c>
      <c r="BR634" t="s">
        <v>107</v>
      </c>
      <c r="BS634" t="s">
        <v>8742</v>
      </c>
      <c r="BT634" t="str">
        <f>HYPERLINK("https%3A%2F%2Fwww.webofscience.com%2Fwos%2Fwoscc%2Ffull-record%2FWOS:000178262600005","View Full Record in Web of Science")</f>
        <v>View Full Record in Web of Science</v>
      </c>
    </row>
    <row r="635" spans="1:72" x14ac:dyDescent="0.15">
      <c r="A635" t="s">
        <v>72</v>
      </c>
      <c r="B635" t="s">
        <v>8743</v>
      </c>
      <c r="C635" t="s">
        <v>74</v>
      </c>
      <c r="D635" t="s">
        <v>74</v>
      </c>
      <c r="E635" t="s">
        <v>74</v>
      </c>
      <c r="F635" t="s">
        <v>8743</v>
      </c>
      <c r="G635" t="s">
        <v>74</v>
      </c>
      <c r="H635" t="s">
        <v>74</v>
      </c>
      <c r="I635" t="s">
        <v>8744</v>
      </c>
      <c r="J635" t="s">
        <v>8176</v>
      </c>
      <c r="K635" t="s">
        <v>74</v>
      </c>
      <c r="L635" t="s">
        <v>74</v>
      </c>
      <c r="M635" t="s">
        <v>77</v>
      </c>
      <c r="N635" t="s">
        <v>153</v>
      </c>
      <c r="O635" t="s">
        <v>74</v>
      </c>
      <c r="P635" t="s">
        <v>74</v>
      </c>
      <c r="Q635" t="s">
        <v>74</v>
      </c>
      <c r="R635" t="s">
        <v>74</v>
      </c>
      <c r="S635" t="s">
        <v>74</v>
      </c>
      <c r="T635" t="s">
        <v>74</v>
      </c>
      <c r="U635" t="s">
        <v>8745</v>
      </c>
      <c r="V635" t="s">
        <v>8746</v>
      </c>
      <c r="W635" t="s">
        <v>8747</v>
      </c>
      <c r="X635" t="s">
        <v>8748</v>
      </c>
      <c r="Y635" t="s">
        <v>8749</v>
      </c>
      <c r="Z635" t="s">
        <v>8702</v>
      </c>
      <c r="AA635" t="s">
        <v>8750</v>
      </c>
      <c r="AB635" t="s">
        <v>8751</v>
      </c>
      <c r="AC635" t="s">
        <v>74</v>
      </c>
      <c r="AD635" t="s">
        <v>74</v>
      </c>
      <c r="AE635" t="s">
        <v>74</v>
      </c>
      <c r="AF635" t="s">
        <v>74</v>
      </c>
      <c r="AG635">
        <v>64</v>
      </c>
      <c r="AH635">
        <v>17</v>
      </c>
      <c r="AI635">
        <v>17</v>
      </c>
      <c r="AJ635">
        <v>0</v>
      </c>
      <c r="AK635">
        <v>2</v>
      </c>
      <c r="AL635" t="s">
        <v>1013</v>
      </c>
      <c r="AM635" t="s">
        <v>895</v>
      </c>
      <c r="AN635" t="s">
        <v>1014</v>
      </c>
      <c r="AO635" t="s">
        <v>8184</v>
      </c>
      <c r="AP635" t="s">
        <v>8185</v>
      </c>
      <c r="AQ635" t="s">
        <v>74</v>
      </c>
      <c r="AR635" t="s">
        <v>8186</v>
      </c>
      <c r="AS635" t="s">
        <v>8187</v>
      </c>
      <c r="AT635" t="s">
        <v>74</v>
      </c>
      <c r="AU635">
        <v>2002</v>
      </c>
      <c r="AV635">
        <v>49</v>
      </c>
      <c r="AW635">
        <v>18</v>
      </c>
      <c r="AX635" t="s">
        <v>74</v>
      </c>
      <c r="AY635" t="s">
        <v>74</v>
      </c>
      <c r="AZ635" t="s">
        <v>74</v>
      </c>
      <c r="BA635" t="s">
        <v>74</v>
      </c>
      <c r="BB635">
        <v>3813</v>
      </c>
      <c r="BC635">
        <v>3834</v>
      </c>
      <c r="BD635" t="s">
        <v>8752</v>
      </c>
      <c r="BE635" t="s">
        <v>8753</v>
      </c>
      <c r="BF635" t="str">
        <f>HYPERLINK("http://dx.doi.org/10.1016/S0967-0645(02)00112-1","http://dx.doi.org/10.1016/S0967-0645(02)00112-1")</f>
        <v>http://dx.doi.org/10.1016/S0967-0645(02)00112-1</v>
      </c>
      <c r="BG635" t="s">
        <v>74</v>
      </c>
      <c r="BH635" t="s">
        <v>74</v>
      </c>
      <c r="BI635">
        <v>22</v>
      </c>
      <c r="BJ635" t="s">
        <v>1155</v>
      </c>
      <c r="BK635" t="s">
        <v>170</v>
      </c>
      <c r="BL635" t="s">
        <v>1155</v>
      </c>
      <c r="BM635" t="s">
        <v>8707</v>
      </c>
      <c r="BN635" t="s">
        <v>74</v>
      </c>
      <c r="BO635" t="s">
        <v>74</v>
      </c>
      <c r="BP635" t="s">
        <v>74</v>
      </c>
      <c r="BQ635" t="s">
        <v>74</v>
      </c>
      <c r="BR635" t="s">
        <v>107</v>
      </c>
      <c r="BS635" t="s">
        <v>8754</v>
      </c>
      <c r="BT635" t="str">
        <f>HYPERLINK("https%3A%2F%2Fwww.webofscience.com%2Fwos%2Fwoscc%2Ffull-record%2FWOS:000178262600006","View Full Record in Web of Science")</f>
        <v>View Full Record in Web of Science</v>
      </c>
    </row>
    <row r="636" spans="1:72" x14ac:dyDescent="0.15">
      <c r="A636" t="s">
        <v>72</v>
      </c>
      <c r="B636" t="s">
        <v>8755</v>
      </c>
      <c r="C636" t="s">
        <v>74</v>
      </c>
      <c r="D636" t="s">
        <v>74</v>
      </c>
      <c r="E636" t="s">
        <v>74</v>
      </c>
      <c r="F636" t="s">
        <v>8755</v>
      </c>
      <c r="G636" t="s">
        <v>74</v>
      </c>
      <c r="H636" t="s">
        <v>74</v>
      </c>
      <c r="I636" t="s">
        <v>8756</v>
      </c>
      <c r="J636" t="s">
        <v>8176</v>
      </c>
      <c r="K636" t="s">
        <v>74</v>
      </c>
      <c r="L636" t="s">
        <v>74</v>
      </c>
      <c r="M636" t="s">
        <v>77</v>
      </c>
      <c r="N636" t="s">
        <v>153</v>
      </c>
      <c r="O636" t="s">
        <v>74</v>
      </c>
      <c r="P636" t="s">
        <v>74</v>
      </c>
      <c r="Q636" t="s">
        <v>74</v>
      </c>
      <c r="R636" t="s">
        <v>74</v>
      </c>
      <c r="S636" t="s">
        <v>74</v>
      </c>
      <c r="T636" t="s">
        <v>74</v>
      </c>
      <c r="U636" t="s">
        <v>8757</v>
      </c>
      <c r="V636" t="s">
        <v>8758</v>
      </c>
      <c r="W636" t="s">
        <v>8759</v>
      </c>
      <c r="X636" t="s">
        <v>8760</v>
      </c>
      <c r="Y636" t="s">
        <v>8761</v>
      </c>
      <c r="Z636" t="s">
        <v>74</v>
      </c>
      <c r="AA636" t="s">
        <v>74</v>
      </c>
      <c r="AB636" t="s">
        <v>8762</v>
      </c>
      <c r="AC636" t="s">
        <v>74</v>
      </c>
      <c r="AD636" t="s">
        <v>74</v>
      </c>
      <c r="AE636" t="s">
        <v>74</v>
      </c>
      <c r="AF636" t="s">
        <v>74</v>
      </c>
      <c r="AG636">
        <v>47</v>
      </c>
      <c r="AH636">
        <v>55</v>
      </c>
      <c r="AI636">
        <v>62</v>
      </c>
      <c r="AJ636">
        <v>0</v>
      </c>
      <c r="AK636">
        <v>21</v>
      </c>
      <c r="AL636" t="s">
        <v>1013</v>
      </c>
      <c r="AM636" t="s">
        <v>895</v>
      </c>
      <c r="AN636" t="s">
        <v>1014</v>
      </c>
      <c r="AO636" t="s">
        <v>8184</v>
      </c>
      <c r="AP636" t="s">
        <v>74</v>
      </c>
      <c r="AQ636" t="s">
        <v>74</v>
      </c>
      <c r="AR636" t="s">
        <v>8186</v>
      </c>
      <c r="AS636" t="s">
        <v>8187</v>
      </c>
      <c r="AT636" t="s">
        <v>74</v>
      </c>
      <c r="AU636">
        <v>2002</v>
      </c>
      <c r="AV636">
        <v>49</v>
      </c>
      <c r="AW636">
        <v>18</v>
      </c>
      <c r="AX636" t="s">
        <v>74</v>
      </c>
      <c r="AY636" t="s">
        <v>74</v>
      </c>
      <c r="AZ636" t="s">
        <v>74</v>
      </c>
      <c r="BA636" t="s">
        <v>74</v>
      </c>
      <c r="BB636">
        <v>3835</v>
      </c>
      <c r="BC636">
        <v>3848</v>
      </c>
      <c r="BD636" t="s">
        <v>8763</v>
      </c>
      <c r="BE636" t="s">
        <v>8764</v>
      </c>
      <c r="BF636" t="str">
        <f>HYPERLINK("http://dx.doi.org/10.1016/S0967-0645(02)00113-3","http://dx.doi.org/10.1016/S0967-0645(02)00113-3")</f>
        <v>http://dx.doi.org/10.1016/S0967-0645(02)00113-3</v>
      </c>
      <c r="BG636" t="s">
        <v>74</v>
      </c>
      <c r="BH636" t="s">
        <v>74</v>
      </c>
      <c r="BI636">
        <v>14</v>
      </c>
      <c r="BJ636" t="s">
        <v>1155</v>
      </c>
      <c r="BK636" t="s">
        <v>170</v>
      </c>
      <c r="BL636" t="s">
        <v>1155</v>
      </c>
      <c r="BM636" t="s">
        <v>8707</v>
      </c>
      <c r="BN636" t="s">
        <v>74</v>
      </c>
      <c r="BO636" t="s">
        <v>74</v>
      </c>
      <c r="BP636" t="s">
        <v>74</v>
      </c>
      <c r="BQ636" t="s">
        <v>74</v>
      </c>
      <c r="BR636" t="s">
        <v>107</v>
      </c>
      <c r="BS636" t="s">
        <v>8765</v>
      </c>
      <c r="BT636" t="str">
        <f>HYPERLINK("https%3A%2F%2Fwww.webofscience.com%2Fwos%2Fwoscc%2Ffull-record%2FWOS:000178262600007","View Full Record in Web of Science")</f>
        <v>View Full Record in Web of Science</v>
      </c>
    </row>
    <row r="637" spans="1:72" x14ac:dyDescent="0.15">
      <c r="A637" t="s">
        <v>72</v>
      </c>
      <c r="B637" t="s">
        <v>8766</v>
      </c>
      <c r="C637" t="s">
        <v>74</v>
      </c>
      <c r="D637" t="s">
        <v>74</v>
      </c>
      <c r="E637" t="s">
        <v>74</v>
      </c>
      <c r="F637" t="s">
        <v>8766</v>
      </c>
      <c r="G637" t="s">
        <v>74</v>
      </c>
      <c r="H637" t="s">
        <v>74</v>
      </c>
      <c r="I637" t="s">
        <v>8767</v>
      </c>
      <c r="J637" t="s">
        <v>8176</v>
      </c>
      <c r="K637" t="s">
        <v>74</v>
      </c>
      <c r="L637" t="s">
        <v>74</v>
      </c>
      <c r="M637" t="s">
        <v>77</v>
      </c>
      <c r="N637" t="s">
        <v>153</v>
      </c>
      <c r="O637" t="s">
        <v>74</v>
      </c>
      <c r="P637" t="s">
        <v>74</v>
      </c>
      <c r="Q637" t="s">
        <v>74</v>
      </c>
      <c r="R637" t="s">
        <v>74</v>
      </c>
      <c r="S637" t="s">
        <v>74</v>
      </c>
      <c r="T637" t="s">
        <v>74</v>
      </c>
      <c r="U637" t="s">
        <v>8768</v>
      </c>
      <c r="V637" t="s">
        <v>8769</v>
      </c>
      <c r="W637" t="s">
        <v>8770</v>
      </c>
      <c r="X637" t="s">
        <v>8771</v>
      </c>
      <c r="Y637" t="s">
        <v>6848</v>
      </c>
      <c r="Z637" t="s">
        <v>8772</v>
      </c>
      <c r="AA637" t="s">
        <v>74</v>
      </c>
      <c r="AB637" t="s">
        <v>6850</v>
      </c>
      <c r="AC637" t="s">
        <v>74</v>
      </c>
      <c r="AD637" t="s">
        <v>74</v>
      </c>
      <c r="AE637" t="s">
        <v>74</v>
      </c>
      <c r="AF637" t="s">
        <v>74</v>
      </c>
      <c r="AG637">
        <v>78</v>
      </c>
      <c r="AH637">
        <v>53</v>
      </c>
      <c r="AI637">
        <v>60</v>
      </c>
      <c r="AJ637">
        <v>1</v>
      </c>
      <c r="AK637">
        <v>13</v>
      </c>
      <c r="AL637" t="s">
        <v>1013</v>
      </c>
      <c r="AM637" t="s">
        <v>895</v>
      </c>
      <c r="AN637" t="s">
        <v>1014</v>
      </c>
      <c r="AO637" t="s">
        <v>8184</v>
      </c>
      <c r="AP637" t="s">
        <v>8185</v>
      </c>
      <c r="AQ637" t="s">
        <v>74</v>
      </c>
      <c r="AR637" t="s">
        <v>8186</v>
      </c>
      <c r="AS637" t="s">
        <v>8187</v>
      </c>
      <c r="AT637" t="s">
        <v>74</v>
      </c>
      <c r="AU637">
        <v>2002</v>
      </c>
      <c r="AV637">
        <v>49</v>
      </c>
      <c r="AW637">
        <v>18</v>
      </c>
      <c r="AX637" t="s">
        <v>74</v>
      </c>
      <c r="AY637" t="s">
        <v>74</v>
      </c>
      <c r="AZ637" t="s">
        <v>74</v>
      </c>
      <c r="BA637" t="s">
        <v>74</v>
      </c>
      <c r="BB637">
        <v>3849</v>
      </c>
      <c r="BC637">
        <v>3869</v>
      </c>
      <c r="BD637" t="s">
        <v>8773</v>
      </c>
      <c r="BE637" t="s">
        <v>74</v>
      </c>
      <c r="BF637" t="s">
        <v>74</v>
      </c>
      <c r="BG637" t="s">
        <v>74</v>
      </c>
      <c r="BH637" t="s">
        <v>74</v>
      </c>
      <c r="BI637">
        <v>21</v>
      </c>
      <c r="BJ637" t="s">
        <v>1155</v>
      </c>
      <c r="BK637" t="s">
        <v>170</v>
      </c>
      <c r="BL637" t="s">
        <v>1155</v>
      </c>
      <c r="BM637" t="s">
        <v>8707</v>
      </c>
      <c r="BN637" t="s">
        <v>74</v>
      </c>
      <c r="BO637" t="s">
        <v>74</v>
      </c>
      <c r="BP637" t="s">
        <v>74</v>
      </c>
      <c r="BQ637" t="s">
        <v>74</v>
      </c>
      <c r="BR637" t="s">
        <v>107</v>
      </c>
      <c r="BS637" t="s">
        <v>8774</v>
      </c>
      <c r="BT637" t="str">
        <f>HYPERLINK("https%3A%2F%2Fwww.webofscience.com%2Fwos%2Fwoscc%2Ffull-record%2FWOS:000178262600008","View Full Record in Web of Science")</f>
        <v>View Full Record in Web of Science</v>
      </c>
    </row>
    <row r="638" spans="1:72" x14ac:dyDescent="0.15">
      <c r="A638" t="s">
        <v>72</v>
      </c>
      <c r="B638" t="s">
        <v>8775</v>
      </c>
      <c r="C638" t="s">
        <v>74</v>
      </c>
      <c r="D638" t="s">
        <v>74</v>
      </c>
      <c r="E638" t="s">
        <v>74</v>
      </c>
      <c r="F638" t="s">
        <v>8775</v>
      </c>
      <c r="G638" t="s">
        <v>74</v>
      </c>
      <c r="H638" t="s">
        <v>74</v>
      </c>
      <c r="I638" t="s">
        <v>8776</v>
      </c>
      <c r="J638" t="s">
        <v>8176</v>
      </c>
      <c r="K638" t="s">
        <v>74</v>
      </c>
      <c r="L638" t="s">
        <v>74</v>
      </c>
      <c r="M638" t="s">
        <v>77</v>
      </c>
      <c r="N638" t="s">
        <v>153</v>
      </c>
      <c r="O638" t="s">
        <v>74</v>
      </c>
      <c r="P638" t="s">
        <v>74</v>
      </c>
      <c r="Q638" t="s">
        <v>74</v>
      </c>
      <c r="R638" t="s">
        <v>74</v>
      </c>
      <c r="S638" t="s">
        <v>74</v>
      </c>
      <c r="T638" t="s">
        <v>74</v>
      </c>
      <c r="U638" t="s">
        <v>8777</v>
      </c>
      <c r="V638" t="s">
        <v>8778</v>
      </c>
      <c r="W638" t="s">
        <v>8779</v>
      </c>
      <c r="X638" t="s">
        <v>8780</v>
      </c>
      <c r="Y638" t="s">
        <v>8781</v>
      </c>
      <c r="Z638" t="s">
        <v>8782</v>
      </c>
      <c r="AA638" t="s">
        <v>8783</v>
      </c>
      <c r="AB638" t="s">
        <v>8784</v>
      </c>
      <c r="AC638" t="s">
        <v>74</v>
      </c>
      <c r="AD638" t="s">
        <v>74</v>
      </c>
      <c r="AE638" t="s">
        <v>74</v>
      </c>
      <c r="AF638" t="s">
        <v>74</v>
      </c>
      <c r="AG638">
        <v>70</v>
      </c>
      <c r="AH638">
        <v>45</v>
      </c>
      <c r="AI638">
        <v>46</v>
      </c>
      <c r="AJ638">
        <v>0</v>
      </c>
      <c r="AK638">
        <v>11</v>
      </c>
      <c r="AL638" t="s">
        <v>1013</v>
      </c>
      <c r="AM638" t="s">
        <v>895</v>
      </c>
      <c r="AN638" t="s">
        <v>1014</v>
      </c>
      <c r="AO638" t="s">
        <v>8184</v>
      </c>
      <c r="AP638" t="s">
        <v>8185</v>
      </c>
      <c r="AQ638" t="s">
        <v>74</v>
      </c>
      <c r="AR638" t="s">
        <v>8186</v>
      </c>
      <c r="AS638" t="s">
        <v>8187</v>
      </c>
      <c r="AT638" t="s">
        <v>74</v>
      </c>
      <c r="AU638">
        <v>2002</v>
      </c>
      <c r="AV638">
        <v>49</v>
      </c>
      <c r="AW638">
        <v>18</v>
      </c>
      <c r="AX638" t="s">
        <v>74</v>
      </c>
      <c r="AY638" t="s">
        <v>74</v>
      </c>
      <c r="AZ638" t="s">
        <v>74</v>
      </c>
      <c r="BA638" t="s">
        <v>74</v>
      </c>
      <c r="BB638">
        <v>3871</v>
      </c>
      <c r="BC638">
        <v>3887</v>
      </c>
      <c r="BD638" t="s">
        <v>8785</v>
      </c>
      <c r="BE638" t="s">
        <v>8786</v>
      </c>
      <c r="BF638" t="str">
        <f>HYPERLINK("http://dx.doi.org/10.1016/S0967-0645(02)00115-7","http://dx.doi.org/10.1016/S0967-0645(02)00115-7")</f>
        <v>http://dx.doi.org/10.1016/S0967-0645(02)00115-7</v>
      </c>
      <c r="BG638" t="s">
        <v>74</v>
      </c>
      <c r="BH638" t="s">
        <v>74</v>
      </c>
      <c r="BI638">
        <v>17</v>
      </c>
      <c r="BJ638" t="s">
        <v>1155</v>
      </c>
      <c r="BK638" t="s">
        <v>170</v>
      </c>
      <c r="BL638" t="s">
        <v>1155</v>
      </c>
      <c r="BM638" t="s">
        <v>8707</v>
      </c>
      <c r="BN638" t="s">
        <v>74</v>
      </c>
      <c r="BO638" t="s">
        <v>106</v>
      </c>
      <c r="BP638" t="s">
        <v>74</v>
      </c>
      <c r="BQ638" t="s">
        <v>74</v>
      </c>
      <c r="BR638" t="s">
        <v>107</v>
      </c>
      <c r="BS638" t="s">
        <v>8787</v>
      </c>
      <c r="BT638" t="str">
        <f>HYPERLINK("https%3A%2F%2Fwww.webofscience.com%2Fwos%2Fwoscc%2Ffull-record%2FWOS:000178262600009","View Full Record in Web of Science")</f>
        <v>View Full Record in Web of Science</v>
      </c>
    </row>
    <row r="639" spans="1:72" x14ac:dyDescent="0.15">
      <c r="A639" t="s">
        <v>72</v>
      </c>
      <c r="B639" t="s">
        <v>8788</v>
      </c>
      <c r="C639" t="s">
        <v>74</v>
      </c>
      <c r="D639" t="s">
        <v>74</v>
      </c>
      <c r="E639" t="s">
        <v>74</v>
      </c>
      <c r="F639" t="s">
        <v>8788</v>
      </c>
      <c r="G639" t="s">
        <v>74</v>
      </c>
      <c r="H639" t="s">
        <v>74</v>
      </c>
      <c r="I639" t="s">
        <v>8789</v>
      </c>
      <c r="J639" t="s">
        <v>8176</v>
      </c>
      <c r="K639" t="s">
        <v>74</v>
      </c>
      <c r="L639" t="s">
        <v>74</v>
      </c>
      <c r="M639" t="s">
        <v>77</v>
      </c>
      <c r="N639" t="s">
        <v>153</v>
      </c>
      <c r="O639" t="s">
        <v>74</v>
      </c>
      <c r="P639" t="s">
        <v>74</v>
      </c>
      <c r="Q639" t="s">
        <v>74</v>
      </c>
      <c r="R639" t="s">
        <v>74</v>
      </c>
      <c r="S639" t="s">
        <v>74</v>
      </c>
      <c r="T639" t="s">
        <v>74</v>
      </c>
      <c r="U639" t="s">
        <v>8790</v>
      </c>
      <c r="V639" t="s">
        <v>8791</v>
      </c>
      <c r="W639" t="s">
        <v>8792</v>
      </c>
      <c r="X639" t="s">
        <v>8793</v>
      </c>
      <c r="Y639" t="s">
        <v>8634</v>
      </c>
      <c r="Z639" t="s">
        <v>8794</v>
      </c>
      <c r="AA639" t="s">
        <v>8703</v>
      </c>
      <c r="AB639" t="s">
        <v>74</v>
      </c>
      <c r="AC639" t="s">
        <v>74</v>
      </c>
      <c r="AD639" t="s">
        <v>74</v>
      </c>
      <c r="AE639" t="s">
        <v>74</v>
      </c>
      <c r="AF639" t="s">
        <v>74</v>
      </c>
      <c r="AG639">
        <v>38</v>
      </c>
      <c r="AH639">
        <v>41</v>
      </c>
      <c r="AI639">
        <v>44</v>
      </c>
      <c r="AJ639">
        <v>0</v>
      </c>
      <c r="AK639">
        <v>15</v>
      </c>
      <c r="AL639" t="s">
        <v>1013</v>
      </c>
      <c r="AM639" t="s">
        <v>895</v>
      </c>
      <c r="AN639" t="s">
        <v>1014</v>
      </c>
      <c r="AO639" t="s">
        <v>8184</v>
      </c>
      <c r="AP639" t="s">
        <v>8185</v>
      </c>
      <c r="AQ639" t="s">
        <v>74</v>
      </c>
      <c r="AR639" t="s">
        <v>8186</v>
      </c>
      <c r="AS639" t="s">
        <v>8187</v>
      </c>
      <c r="AT639" t="s">
        <v>74</v>
      </c>
      <c r="AU639">
        <v>2002</v>
      </c>
      <c r="AV639">
        <v>49</v>
      </c>
      <c r="AW639">
        <v>18</v>
      </c>
      <c r="AX639" t="s">
        <v>74</v>
      </c>
      <c r="AY639" t="s">
        <v>74</v>
      </c>
      <c r="AZ639" t="s">
        <v>74</v>
      </c>
      <c r="BA639" t="s">
        <v>74</v>
      </c>
      <c r="BB639">
        <v>3889</v>
      </c>
      <c r="BC639">
        <v>3915</v>
      </c>
      <c r="BD639" t="s">
        <v>8795</v>
      </c>
      <c r="BE639" t="s">
        <v>8796</v>
      </c>
      <c r="BF639" t="str">
        <f>HYPERLINK("http://dx.doi.org/10.1016/S0967-0645(02)00116-9","http://dx.doi.org/10.1016/S0967-0645(02)00116-9")</f>
        <v>http://dx.doi.org/10.1016/S0967-0645(02)00116-9</v>
      </c>
      <c r="BG639" t="s">
        <v>74</v>
      </c>
      <c r="BH639" t="s">
        <v>74</v>
      </c>
      <c r="BI639">
        <v>27</v>
      </c>
      <c r="BJ639" t="s">
        <v>1155</v>
      </c>
      <c r="BK639" t="s">
        <v>170</v>
      </c>
      <c r="BL639" t="s">
        <v>1155</v>
      </c>
      <c r="BM639" t="s">
        <v>8707</v>
      </c>
      <c r="BN639" t="s">
        <v>74</v>
      </c>
      <c r="BO639" t="s">
        <v>106</v>
      </c>
      <c r="BP639" t="s">
        <v>74</v>
      </c>
      <c r="BQ639" t="s">
        <v>74</v>
      </c>
      <c r="BR639" t="s">
        <v>107</v>
      </c>
      <c r="BS639" t="s">
        <v>8797</v>
      </c>
      <c r="BT639" t="str">
        <f>HYPERLINK("https%3A%2F%2Fwww.webofscience.com%2Fwos%2Fwoscc%2Ffull-record%2FWOS:000178262600010","View Full Record in Web of Science")</f>
        <v>View Full Record in Web of Science</v>
      </c>
    </row>
    <row r="640" spans="1:72" x14ac:dyDescent="0.15">
      <c r="A640" t="s">
        <v>72</v>
      </c>
      <c r="B640" t="s">
        <v>8798</v>
      </c>
      <c r="C640" t="s">
        <v>74</v>
      </c>
      <c r="D640" t="s">
        <v>74</v>
      </c>
      <c r="E640" t="s">
        <v>74</v>
      </c>
      <c r="F640" t="s">
        <v>8798</v>
      </c>
      <c r="G640" t="s">
        <v>74</v>
      </c>
      <c r="H640" t="s">
        <v>74</v>
      </c>
      <c r="I640" t="s">
        <v>8799</v>
      </c>
      <c r="J640" t="s">
        <v>8176</v>
      </c>
      <c r="K640" t="s">
        <v>74</v>
      </c>
      <c r="L640" t="s">
        <v>74</v>
      </c>
      <c r="M640" t="s">
        <v>77</v>
      </c>
      <c r="N640" t="s">
        <v>153</v>
      </c>
      <c r="O640" t="s">
        <v>74</v>
      </c>
      <c r="P640" t="s">
        <v>74</v>
      </c>
      <c r="Q640" t="s">
        <v>74</v>
      </c>
      <c r="R640" t="s">
        <v>74</v>
      </c>
      <c r="S640" t="s">
        <v>74</v>
      </c>
      <c r="T640" t="s">
        <v>74</v>
      </c>
      <c r="U640" t="s">
        <v>8800</v>
      </c>
      <c r="V640" t="s">
        <v>8801</v>
      </c>
      <c r="W640" t="s">
        <v>8802</v>
      </c>
      <c r="X640" t="s">
        <v>8803</v>
      </c>
      <c r="Y640" t="s">
        <v>74</v>
      </c>
      <c r="Z640" t="s">
        <v>8804</v>
      </c>
      <c r="AA640" t="s">
        <v>8805</v>
      </c>
      <c r="AB640" t="s">
        <v>8806</v>
      </c>
      <c r="AC640" t="s">
        <v>74</v>
      </c>
      <c r="AD640" t="s">
        <v>74</v>
      </c>
      <c r="AE640" t="s">
        <v>74</v>
      </c>
      <c r="AF640" t="s">
        <v>74</v>
      </c>
      <c r="AG640">
        <v>34</v>
      </c>
      <c r="AH640">
        <v>6</v>
      </c>
      <c r="AI640">
        <v>6</v>
      </c>
      <c r="AJ640">
        <v>0</v>
      </c>
      <c r="AK640">
        <v>4</v>
      </c>
      <c r="AL640" t="s">
        <v>1013</v>
      </c>
      <c r="AM640" t="s">
        <v>895</v>
      </c>
      <c r="AN640" t="s">
        <v>1014</v>
      </c>
      <c r="AO640" t="s">
        <v>8184</v>
      </c>
      <c r="AP640" t="s">
        <v>8185</v>
      </c>
      <c r="AQ640" t="s">
        <v>74</v>
      </c>
      <c r="AR640" t="s">
        <v>8186</v>
      </c>
      <c r="AS640" t="s">
        <v>8187</v>
      </c>
      <c r="AT640" t="s">
        <v>74</v>
      </c>
      <c r="AU640">
        <v>2002</v>
      </c>
      <c r="AV640">
        <v>49</v>
      </c>
      <c r="AW640">
        <v>18</v>
      </c>
      <c r="AX640" t="s">
        <v>74</v>
      </c>
      <c r="AY640" t="s">
        <v>74</v>
      </c>
      <c r="AZ640" t="s">
        <v>74</v>
      </c>
      <c r="BA640" t="s">
        <v>74</v>
      </c>
      <c r="BB640">
        <v>3917</v>
      </c>
      <c r="BC640">
        <v>3929</v>
      </c>
      <c r="BD640" t="s">
        <v>8807</v>
      </c>
      <c r="BE640" t="s">
        <v>8808</v>
      </c>
      <c r="BF640" t="str">
        <f>HYPERLINK("http://dx.doi.org/10.1016/S0967-0645(02)00117-0","http://dx.doi.org/10.1016/S0967-0645(02)00117-0")</f>
        <v>http://dx.doi.org/10.1016/S0967-0645(02)00117-0</v>
      </c>
      <c r="BG640" t="s">
        <v>74</v>
      </c>
      <c r="BH640" t="s">
        <v>74</v>
      </c>
      <c r="BI640">
        <v>13</v>
      </c>
      <c r="BJ640" t="s">
        <v>1155</v>
      </c>
      <c r="BK640" t="s">
        <v>170</v>
      </c>
      <c r="BL640" t="s">
        <v>1155</v>
      </c>
      <c r="BM640" t="s">
        <v>8707</v>
      </c>
      <c r="BN640" t="s">
        <v>74</v>
      </c>
      <c r="BO640" t="s">
        <v>74</v>
      </c>
      <c r="BP640" t="s">
        <v>74</v>
      </c>
      <c r="BQ640" t="s">
        <v>74</v>
      </c>
      <c r="BR640" t="s">
        <v>107</v>
      </c>
      <c r="BS640" t="s">
        <v>8809</v>
      </c>
      <c r="BT640" t="str">
        <f>HYPERLINK("https%3A%2F%2Fwww.webofscience.com%2Fwos%2Fwoscc%2Ffull-record%2FWOS:000178262600011","View Full Record in Web of Science")</f>
        <v>View Full Record in Web of Science</v>
      </c>
    </row>
    <row r="641" spans="1:72" x14ac:dyDescent="0.15">
      <c r="A641" t="s">
        <v>72</v>
      </c>
      <c r="B641" t="s">
        <v>8810</v>
      </c>
      <c r="C641" t="s">
        <v>74</v>
      </c>
      <c r="D641" t="s">
        <v>74</v>
      </c>
      <c r="E641" t="s">
        <v>74</v>
      </c>
      <c r="F641" t="s">
        <v>8810</v>
      </c>
      <c r="G641" t="s">
        <v>74</v>
      </c>
      <c r="H641" t="s">
        <v>74</v>
      </c>
      <c r="I641" t="s">
        <v>8811</v>
      </c>
      <c r="J641" t="s">
        <v>8176</v>
      </c>
      <c r="K641" t="s">
        <v>74</v>
      </c>
      <c r="L641" t="s">
        <v>74</v>
      </c>
      <c r="M641" t="s">
        <v>77</v>
      </c>
      <c r="N641" t="s">
        <v>153</v>
      </c>
      <c r="O641" t="s">
        <v>74</v>
      </c>
      <c r="P641" t="s">
        <v>74</v>
      </c>
      <c r="Q641" t="s">
        <v>74</v>
      </c>
      <c r="R641" t="s">
        <v>74</v>
      </c>
      <c r="S641" t="s">
        <v>74</v>
      </c>
      <c r="T641" t="s">
        <v>74</v>
      </c>
      <c r="U641" t="s">
        <v>8812</v>
      </c>
      <c r="V641" t="s">
        <v>8813</v>
      </c>
      <c r="W641" t="s">
        <v>8814</v>
      </c>
      <c r="X641" t="s">
        <v>8815</v>
      </c>
      <c r="Y641" t="s">
        <v>8816</v>
      </c>
      <c r="Z641" t="s">
        <v>8817</v>
      </c>
      <c r="AA641" t="s">
        <v>8818</v>
      </c>
      <c r="AB641" t="s">
        <v>8819</v>
      </c>
      <c r="AC641" t="s">
        <v>74</v>
      </c>
      <c r="AD641" t="s">
        <v>74</v>
      </c>
      <c r="AE641" t="s">
        <v>74</v>
      </c>
      <c r="AF641" t="s">
        <v>74</v>
      </c>
      <c r="AG641">
        <v>82</v>
      </c>
      <c r="AH641">
        <v>32</v>
      </c>
      <c r="AI641">
        <v>37</v>
      </c>
      <c r="AJ641">
        <v>0</v>
      </c>
      <c r="AK641">
        <v>14</v>
      </c>
      <c r="AL641" t="s">
        <v>1013</v>
      </c>
      <c r="AM641" t="s">
        <v>895</v>
      </c>
      <c r="AN641" t="s">
        <v>1014</v>
      </c>
      <c r="AO641" t="s">
        <v>8184</v>
      </c>
      <c r="AP641" t="s">
        <v>8185</v>
      </c>
      <c r="AQ641" t="s">
        <v>74</v>
      </c>
      <c r="AR641" t="s">
        <v>8186</v>
      </c>
      <c r="AS641" t="s">
        <v>8187</v>
      </c>
      <c r="AT641" t="s">
        <v>74</v>
      </c>
      <c r="AU641">
        <v>2002</v>
      </c>
      <c r="AV641">
        <v>49</v>
      </c>
      <c r="AW641">
        <v>18</v>
      </c>
      <c r="AX641" t="s">
        <v>74</v>
      </c>
      <c r="AY641" t="s">
        <v>74</v>
      </c>
      <c r="AZ641" t="s">
        <v>74</v>
      </c>
      <c r="BA641" t="s">
        <v>74</v>
      </c>
      <c r="BB641">
        <v>3931</v>
      </c>
      <c r="BC641">
        <v>3950</v>
      </c>
      <c r="BD641" t="s">
        <v>8820</v>
      </c>
      <c r="BE641" t="s">
        <v>8821</v>
      </c>
      <c r="BF641" t="str">
        <f>HYPERLINK("http://dx.doi.org/10.1016/S0967-0645(02)00118-2","http://dx.doi.org/10.1016/S0967-0645(02)00118-2")</f>
        <v>http://dx.doi.org/10.1016/S0967-0645(02)00118-2</v>
      </c>
      <c r="BG641" t="s">
        <v>74</v>
      </c>
      <c r="BH641" t="s">
        <v>74</v>
      </c>
      <c r="BI641">
        <v>20</v>
      </c>
      <c r="BJ641" t="s">
        <v>1155</v>
      </c>
      <c r="BK641" t="s">
        <v>170</v>
      </c>
      <c r="BL641" t="s">
        <v>1155</v>
      </c>
      <c r="BM641" t="s">
        <v>8707</v>
      </c>
      <c r="BN641" t="s">
        <v>74</v>
      </c>
      <c r="BO641" t="s">
        <v>106</v>
      </c>
      <c r="BP641" t="s">
        <v>74</v>
      </c>
      <c r="BQ641" t="s">
        <v>74</v>
      </c>
      <c r="BR641" t="s">
        <v>107</v>
      </c>
      <c r="BS641" t="s">
        <v>8822</v>
      </c>
      <c r="BT641" t="str">
        <f>HYPERLINK("https%3A%2F%2Fwww.webofscience.com%2Fwos%2Fwoscc%2Ffull-record%2FWOS:000178262600012","View Full Record in Web of Science")</f>
        <v>View Full Record in Web of Science</v>
      </c>
    </row>
    <row r="642" spans="1:72" x14ac:dyDescent="0.15">
      <c r="A642" t="s">
        <v>72</v>
      </c>
      <c r="B642" t="s">
        <v>8823</v>
      </c>
      <c r="C642" t="s">
        <v>74</v>
      </c>
      <c r="D642" t="s">
        <v>74</v>
      </c>
      <c r="E642" t="s">
        <v>74</v>
      </c>
      <c r="F642" t="s">
        <v>8823</v>
      </c>
      <c r="G642" t="s">
        <v>74</v>
      </c>
      <c r="H642" t="s">
        <v>74</v>
      </c>
      <c r="I642" t="s">
        <v>8824</v>
      </c>
      <c r="J642" t="s">
        <v>8176</v>
      </c>
      <c r="K642" t="s">
        <v>74</v>
      </c>
      <c r="L642" t="s">
        <v>74</v>
      </c>
      <c r="M642" t="s">
        <v>77</v>
      </c>
      <c r="N642" t="s">
        <v>153</v>
      </c>
      <c r="O642" t="s">
        <v>74</v>
      </c>
      <c r="P642" t="s">
        <v>74</v>
      </c>
      <c r="Q642" t="s">
        <v>74</v>
      </c>
      <c r="R642" t="s">
        <v>74</v>
      </c>
      <c r="S642" t="s">
        <v>74</v>
      </c>
      <c r="T642" t="s">
        <v>74</v>
      </c>
      <c r="U642" t="s">
        <v>8825</v>
      </c>
      <c r="V642" t="s">
        <v>8826</v>
      </c>
      <c r="W642" t="s">
        <v>8827</v>
      </c>
      <c r="X642" t="s">
        <v>74</v>
      </c>
      <c r="Y642" t="s">
        <v>8828</v>
      </c>
      <c r="Z642" t="s">
        <v>74</v>
      </c>
      <c r="AA642" t="s">
        <v>74</v>
      </c>
      <c r="AB642" t="s">
        <v>8829</v>
      </c>
      <c r="AC642" t="s">
        <v>74</v>
      </c>
      <c r="AD642" t="s">
        <v>74</v>
      </c>
      <c r="AE642" t="s">
        <v>74</v>
      </c>
      <c r="AF642" t="s">
        <v>74</v>
      </c>
      <c r="AG642">
        <v>23</v>
      </c>
      <c r="AH642">
        <v>33</v>
      </c>
      <c r="AI642">
        <v>35</v>
      </c>
      <c r="AJ642">
        <v>0</v>
      </c>
      <c r="AK642">
        <v>6</v>
      </c>
      <c r="AL642" t="s">
        <v>1013</v>
      </c>
      <c r="AM642" t="s">
        <v>895</v>
      </c>
      <c r="AN642" t="s">
        <v>1014</v>
      </c>
      <c r="AO642" t="s">
        <v>8184</v>
      </c>
      <c r="AP642" t="s">
        <v>74</v>
      </c>
      <c r="AQ642" t="s">
        <v>74</v>
      </c>
      <c r="AR642" t="s">
        <v>8186</v>
      </c>
      <c r="AS642" t="s">
        <v>8187</v>
      </c>
      <c r="AT642" t="s">
        <v>74</v>
      </c>
      <c r="AU642">
        <v>2002</v>
      </c>
      <c r="AV642">
        <v>49</v>
      </c>
      <c r="AW642">
        <v>19</v>
      </c>
      <c r="AX642" t="s">
        <v>74</v>
      </c>
      <c r="AY642" t="s">
        <v>74</v>
      </c>
      <c r="AZ642" t="s">
        <v>74</v>
      </c>
      <c r="BA642" t="s">
        <v>74</v>
      </c>
      <c r="BB642">
        <v>4263</v>
      </c>
      <c r="BC642">
        <v>4270</v>
      </c>
      <c r="BD642" t="s">
        <v>8830</v>
      </c>
      <c r="BE642" t="s">
        <v>8831</v>
      </c>
      <c r="BF642" t="str">
        <f>HYPERLINK("http://dx.doi.org/10.1016/S0967-0645(02)00154-6","http://dx.doi.org/10.1016/S0967-0645(02)00154-6")</f>
        <v>http://dx.doi.org/10.1016/S0967-0645(02)00154-6</v>
      </c>
      <c r="BG642" t="s">
        <v>74</v>
      </c>
      <c r="BH642" t="s">
        <v>74</v>
      </c>
      <c r="BI642">
        <v>8</v>
      </c>
      <c r="BJ642" t="s">
        <v>1155</v>
      </c>
      <c r="BK642" t="s">
        <v>170</v>
      </c>
      <c r="BL642" t="s">
        <v>1155</v>
      </c>
      <c r="BM642" t="s">
        <v>8832</v>
      </c>
      <c r="BN642" t="s">
        <v>74</v>
      </c>
      <c r="BO642" t="s">
        <v>74</v>
      </c>
      <c r="BP642" t="s">
        <v>74</v>
      </c>
      <c r="BQ642" t="s">
        <v>74</v>
      </c>
      <c r="BR642" t="s">
        <v>107</v>
      </c>
      <c r="BS642" t="s">
        <v>8833</v>
      </c>
      <c r="BT642" t="str">
        <f>HYPERLINK("https%3A%2F%2Fwww.webofscience.com%2Fwos%2Fwoscc%2Ffull-record%2FWOS:000178262900019","View Full Record in Web of Science")</f>
        <v>View Full Record in Web of Science</v>
      </c>
    </row>
    <row r="643" spans="1:72" x14ac:dyDescent="0.15">
      <c r="A643" t="s">
        <v>72</v>
      </c>
      <c r="B643" t="s">
        <v>8834</v>
      </c>
      <c r="C643" t="s">
        <v>74</v>
      </c>
      <c r="D643" t="s">
        <v>74</v>
      </c>
      <c r="E643" t="s">
        <v>74</v>
      </c>
      <c r="F643" t="s">
        <v>8834</v>
      </c>
      <c r="G643" t="s">
        <v>74</v>
      </c>
      <c r="H643" t="s">
        <v>74</v>
      </c>
      <c r="I643" t="s">
        <v>8835</v>
      </c>
      <c r="J643" t="s">
        <v>8176</v>
      </c>
      <c r="K643" t="s">
        <v>74</v>
      </c>
      <c r="L643" t="s">
        <v>74</v>
      </c>
      <c r="M643" t="s">
        <v>77</v>
      </c>
      <c r="N643" t="s">
        <v>751</v>
      </c>
      <c r="O643" t="s">
        <v>74</v>
      </c>
      <c r="P643" t="s">
        <v>74</v>
      </c>
      <c r="Q643" t="s">
        <v>74</v>
      </c>
      <c r="R643" t="s">
        <v>74</v>
      </c>
      <c r="S643" t="s">
        <v>74</v>
      </c>
      <c r="T643" t="s">
        <v>74</v>
      </c>
      <c r="U643" t="s">
        <v>8836</v>
      </c>
      <c r="V643" t="s">
        <v>8837</v>
      </c>
      <c r="W643" t="s">
        <v>8838</v>
      </c>
      <c r="X643" t="s">
        <v>2368</v>
      </c>
      <c r="Y643" t="s">
        <v>8839</v>
      </c>
      <c r="Z643" t="s">
        <v>74</v>
      </c>
      <c r="AA643" t="s">
        <v>74</v>
      </c>
      <c r="AB643" t="s">
        <v>4828</v>
      </c>
      <c r="AC643" t="s">
        <v>74</v>
      </c>
      <c r="AD643" t="s">
        <v>74</v>
      </c>
      <c r="AE643" t="s">
        <v>74</v>
      </c>
      <c r="AF643" t="s">
        <v>74</v>
      </c>
      <c r="AG643">
        <v>17</v>
      </c>
      <c r="AH643">
        <v>15</v>
      </c>
      <c r="AI643">
        <v>15</v>
      </c>
      <c r="AJ643">
        <v>0</v>
      </c>
      <c r="AK643">
        <v>0</v>
      </c>
      <c r="AL643" t="s">
        <v>1013</v>
      </c>
      <c r="AM643" t="s">
        <v>895</v>
      </c>
      <c r="AN643" t="s">
        <v>1014</v>
      </c>
      <c r="AO643" t="s">
        <v>8184</v>
      </c>
      <c r="AP643" t="s">
        <v>74</v>
      </c>
      <c r="AQ643" t="s">
        <v>74</v>
      </c>
      <c r="AR643" t="s">
        <v>8186</v>
      </c>
      <c r="AS643" t="s">
        <v>8187</v>
      </c>
      <c r="AT643" t="s">
        <v>74</v>
      </c>
      <c r="AU643">
        <v>2002</v>
      </c>
      <c r="AV643">
        <v>49</v>
      </c>
      <c r="AW643">
        <v>21</v>
      </c>
      <c r="AX643" t="s">
        <v>74</v>
      </c>
      <c r="AY643" t="s">
        <v>74</v>
      </c>
      <c r="AZ643" t="s">
        <v>74</v>
      </c>
      <c r="BA643" t="s">
        <v>74</v>
      </c>
      <c r="BB643">
        <v>4711</v>
      </c>
      <c r="BC643">
        <v>4714</v>
      </c>
      <c r="BD643" t="s">
        <v>8840</v>
      </c>
      <c r="BE643" t="s">
        <v>8841</v>
      </c>
      <c r="BF643" t="str">
        <f>HYPERLINK("http://dx.doi.org/10.1016/S0967-0645(02)00155-8","http://dx.doi.org/10.1016/S0967-0645(02)00155-8")</f>
        <v>http://dx.doi.org/10.1016/S0967-0645(02)00155-8</v>
      </c>
      <c r="BG643" t="s">
        <v>74</v>
      </c>
      <c r="BH643" t="s">
        <v>74</v>
      </c>
      <c r="BI643">
        <v>4</v>
      </c>
      <c r="BJ643" t="s">
        <v>1155</v>
      </c>
      <c r="BK643" t="s">
        <v>170</v>
      </c>
      <c r="BL643" t="s">
        <v>1155</v>
      </c>
      <c r="BM643" t="s">
        <v>8842</v>
      </c>
      <c r="BN643" t="s">
        <v>74</v>
      </c>
      <c r="BO643" t="s">
        <v>74</v>
      </c>
      <c r="BP643" t="s">
        <v>74</v>
      </c>
      <c r="BQ643" t="s">
        <v>74</v>
      </c>
      <c r="BR643" t="s">
        <v>107</v>
      </c>
      <c r="BS643" t="s">
        <v>8843</v>
      </c>
      <c r="BT643" t="str">
        <f>HYPERLINK("https%3A%2F%2Fwww.webofscience.com%2Fwos%2Fwoscc%2Ffull-record%2FWOS:000178822700001","View Full Record in Web of Science")</f>
        <v>View Full Record in Web of Science</v>
      </c>
    </row>
    <row r="644" spans="1:72" x14ac:dyDescent="0.15">
      <c r="A644" t="s">
        <v>72</v>
      </c>
      <c r="B644" t="s">
        <v>8844</v>
      </c>
      <c r="C644" t="s">
        <v>74</v>
      </c>
      <c r="D644" t="s">
        <v>74</v>
      </c>
      <c r="E644" t="s">
        <v>74</v>
      </c>
      <c r="F644" t="s">
        <v>8844</v>
      </c>
      <c r="G644" t="s">
        <v>74</v>
      </c>
      <c r="H644" t="s">
        <v>74</v>
      </c>
      <c r="I644" t="s">
        <v>8845</v>
      </c>
      <c r="J644" t="s">
        <v>8176</v>
      </c>
      <c r="K644" t="s">
        <v>74</v>
      </c>
      <c r="L644" t="s">
        <v>74</v>
      </c>
      <c r="M644" t="s">
        <v>77</v>
      </c>
      <c r="N644" t="s">
        <v>153</v>
      </c>
      <c r="O644" t="s">
        <v>74</v>
      </c>
      <c r="P644" t="s">
        <v>74</v>
      </c>
      <c r="Q644" t="s">
        <v>74</v>
      </c>
      <c r="R644" t="s">
        <v>74</v>
      </c>
      <c r="S644" t="s">
        <v>74</v>
      </c>
      <c r="T644" t="s">
        <v>74</v>
      </c>
      <c r="U644" t="s">
        <v>8846</v>
      </c>
      <c r="V644" t="s">
        <v>8847</v>
      </c>
      <c r="W644" t="s">
        <v>3845</v>
      </c>
      <c r="X644" t="s">
        <v>3846</v>
      </c>
      <c r="Y644" t="s">
        <v>5773</v>
      </c>
      <c r="Z644" t="s">
        <v>8848</v>
      </c>
      <c r="AA644" t="s">
        <v>8849</v>
      </c>
      <c r="AB644" t="s">
        <v>8850</v>
      </c>
      <c r="AC644" t="s">
        <v>74</v>
      </c>
      <c r="AD644" t="s">
        <v>74</v>
      </c>
      <c r="AE644" t="s">
        <v>74</v>
      </c>
      <c r="AF644" t="s">
        <v>74</v>
      </c>
      <c r="AG644">
        <v>68</v>
      </c>
      <c r="AH644">
        <v>150</v>
      </c>
      <c r="AI644">
        <v>159</v>
      </c>
      <c r="AJ644">
        <v>0</v>
      </c>
      <c r="AK644">
        <v>32</v>
      </c>
      <c r="AL644" t="s">
        <v>1013</v>
      </c>
      <c r="AM644" t="s">
        <v>895</v>
      </c>
      <c r="AN644" t="s">
        <v>1014</v>
      </c>
      <c r="AO644" t="s">
        <v>8184</v>
      </c>
      <c r="AP644" t="s">
        <v>8185</v>
      </c>
      <c r="AQ644" t="s">
        <v>74</v>
      </c>
      <c r="AR644" t="s">
        <v>8186</v>
      </c>
      <c r="AS644" t="s">
        <v>8187</v>
      </c>
      <c r="AT644" t="s">
        <v>74</v>
      </c>
      <c r="AU644">
        <v>2002</v>
      </c>
      <c r="AV644">
        <v>49</v>
      </c>
      <c r="AW644">
        <v>21</v>
      </c>
      <c r="AX644" t="s">
        <v>74</v>
      </c>
      <c r="AY644" t="s">
        <v>74</v>
      </c>
      <c r="AZ644" t="s">
        <v>74</v>
      </c>
      <c r="BA644" t="s">
        <v>74</v>
      </c>
      <c r="BB644">
        <v>4715</v>
      </c>
      <c r="BC644">
        <v>4742</v>
      </c>
      <c r="BD644" t="s">
        <v>8851</v>
      </c>
      <c r="BE644" t="s">
        <v>8852</v>
      </c>
      <c r="BF644" t="str">
        <f>HYPERLINK("http://dx.doi.org/10.1016/S0967-0645(02)00156-X","http://dx.doi.org/10.1016/S0967-0645(02)00156-X")</f>
        <v>http://dx.doi.org/10.1016/S0967-0645(02)00156-X</v>
      </c>
      <c r="BG644" t="s">
        <v>74</v>
      </c>
      <c r="BH644" t="s">
        <v>74</v>
      </c>
      <c r="BI644">
        <v>28</v>
      </c>
      <c r="BJ644" t="s">
        <v>1155</v>
      </c>
      <c r="BK644" t="s">
        <v>170</v>
      </c>
      <c r="BL644" t="s">
        <v>1155</v>
      </c>
      <c r="BM644" t="s">
        <v>8842</v>
      </c>
      <c r="BN644" t="s">
        <v>74</v>
      </c>
      <c r="BO644" t="s">
        <v>74</v>
      </c>
      <c r="BP644" t="s">
        <v>74</v>
      </c>
      <c r="BQ644" t="s">
        <v>74</v>
      </c>
      <c r="BR644" t="s">
        <v>107</v>
      </c>
      <c r="BS644" t="s">
        <v>8853</v>
      </c>
      <c r="BT644" t="str">
        <f>HYPERLINK("https%3A%2F%2Fwww.webofscience.com%2Fwos%2Fwoscc%2Ffull-record%2FWOS:000178822700002","View Full Record in Web of Science")</f>
        <v>View Full Record in Web of Science</v>
      </c>
    </row>
    <row r="645" spans="1:72" x14ac:dyDescent="0.15">
      <c r="A645" t="s">
        <v>72</v>
      </c>
      <c r="B645" t="s">
        <v>8854</v>
      </c>
      <c r="C645" t="s">
        <v>74</v>
      </c>
      <c r="D645" t="s">
        <v>74</v>
      </c>
      <c r="E645" t="s">
        <v>74</v>
      </c>
      <c r="F645" t="s">
        <v>8854</v>
      </c>
      <c r="G645" t="s">
        <v>74</v>
      </c>
      <c r="H645" t="s">
        <v>74</v>
      </c>
      <c r="I645" t="s">
        <v>8855</v>
      </c>
      <c r="J645" t="s">
        <v>8176</v>
      </c>
      <c r="K645" t="s">
        <v>74</v>
      </c>
      <c r="L645" t="s">
        <v>74</v>
      </c>
      <c r="M645" t="s">
        <v>77</v>
      </c>
      <c r="N645" t="s">
        <v>153</v>
      </c>
      <c r="O645" t="s">
        <v>74</v>
      </c>
      <c r="P645" t="s">
        <v>74</v>
      </c>
      <c r="Q645" t="s">
        <v>74</v>
      </c>
      <c r="R645" t="s">
        <v>74</v>
      </c>
      <c r="S645" t="s">
        <v>74</v>
      </c>
      <c r="T645" t="s">
        <v>74</v>
      </c>
      <c r="U645" t="s">
        <v>8856</v>
      </c>
      <c r="V645" t="s">
        <v>8857</v>
      </c>
      <c r="W645" t="s">
        <v>8858</v>
      </c>
      <c r="X645" t="s">
        <v>8859</v>
      </c>
      <c r="Y645" t="s">
        <v>8860</v>
      </c>
      <c r="Z645" t="s">
        <v>74</v>
      </c>
      <c r="AA645" t="s">
        <v>74</v>
      </c>
      <c r="AB645" t="s">
        <v>74</v>
      </c>
      <c r="AC645" t="s">
        <v>74</v>
      </c>
      <c r="AD645" t="s">
        <v>74</v>
      </c>
      <c r="AE645" t="s">
        <v>74</v>
      </c>
      <c r="AF645" t="s">
        <v>74</v>
      </c>
      <c r="AG645">
        <v>40</v>
      </c>
      <c r="AH645">
        <v>65</v>
      </c>
      <c r="AI645">
        <v>68</v>
      </c>
      <c r="AJ645">
        <v>0</v>
      </c>
      <c r="AK645">
        <v>6</v>
      </c>
      <c r="AL645" t="s">
        <v>1013</v>
      </c>
      <c r="AM645" t="s">
        <v>895</v>
      </c>
      <c r="AN645" t="s">
        <v>1014</v>
      </c>
      <c r="AO645" t="s">
        <v>8184</v>
      </c>
      <c r="AP645" t="s">
        <v>74</v>
      </c>
      <c r="AQ645" t="s">
        <v>74</v>
      </c>
      <c r="AR645" t="s">
        <v>8186</v>
      </c>
      <c r="AS645" t="s">
        <v>8187</v>
      </c>
      <c r="AT645" t="s">
        <v>74</v>
      </c>
      <c r="AU645">
        <v>2002</v>
      </c>
      <c r="AV645">
        <v>49</v>
      </c>
      <c r="AW645">
        <v>21</v>
      </c>
      <c r="AX645" t="s">
        <v>74</v>
      </c>
      <c r="AY645" t="s">
        <v>74</v>
      </c>
      <c r="AZ645" t="s">
        <v>74</v>
      </c>
      <c r="BA645" t="s">
        <v>74</v>
      </c>
      <c r="BB645">
        <v>4743</v>
      </c>
      <c r="BC645">
        <v>4766</v>
      </c>
      <c r="BD645" t="s">
        <v>8861</v>
      </c>
      <c r="BE645" t="s">
        <v>8862</v>
      </c>
      <c r="BF645" t="str">
        <f>HYPERLINK("http://dx.doi.org/10.1016/S0967-0645(02)00157-1","http://dx.doi.org/10.1016/S0967-0645(02)00157-1")</f>
        <v>http://dx.doi.org/10.1016/S0967-0645(02)00157-1</v>
      </c>
      <c r="BG645" t="s">
        <v>74</v>
      </c>
      <c r="BH645" t="s">
        <v>74</v>
      </c>
      <c r="BI645">
        <v>24</v>
      </c>
      <c r="BJ645" t="s">
        <v>1155</v>
      </c>
      <c r="BK645" t="s">
        <v>170</v>
      </c>
      <c r="BL645" t="s">
        <v>1155</v>
      </c>
      <c r="BM645" t="s">
        <v>8842</v>
      </c>
      <c r="BN645" t="s">
        <v>74</v>
      </c>
      <c r="BO645" t="s">
        <v>74</v>
      </c>
      <c r="BP645" t="s">
        <v>74</v>
      </c>
      <c r="BQ645" t="s">
        <v>74</v>
      </c>
      <c r="BR645" t="s">
        <v>107</v>
      </c>
      <c r="BS645" t="s">
        <v>8863</v>
      </c>
      <c r="BT645" t="str">
        <f>HYPERLINK("https%3A%2F%2Fwww.webofscience.com%2Fwos%2Fwoscc%2Ffull-record%2FWOS:000178822700003","View Full Record in Web of Science")</f>
        <v>View Full Record in Web of Science</v>
      </c>
    </row>
    <row r="646" spans="1:72" x14ac:dyDescent="0.15">
      <c r="A646" t="s">
        <v>72</v>
      </c>
      <c r="B646" t="s">
        <v>8864</v>
      </c>
      <c r="C646" t="s">
        <v>74</v>
      </c>
      <c r="D646" t="s">
        <v>74</v>
      </c>
      <c r="E646" t="s">
        <v>74</v>
      </c>
      <c r="F646" t="s">
        <v>8864</v>
      </c>
      <c r="G646" t="s">
        <v>74</v>
      </c>
      <c r="H646" t="s">
        <v>74</v>
      </c>
      <c r="I646" t="s">
        <v>8865</v>
      </c>
      <c r="J646" t="s">
        <v>8176</v>
      </c>
      <c r="K646" t="s">
        <v>74</v>
      </c>
      <c r="L646" t="s">
        <v>74</v>
      </c>
      <c r="M646" t="s">
        <v>77</v>
      </c>
      <c r="N646" t="s">
        <v>153</v>
      </c>
      <c r="O646" t="s">
        <v>74</v>
      </c>
      <c r="P646" t="s">
        <v>74</v>
      </c>
      <c r="Q646" t="s">
        <v>74</v>
      </c>
      <c r="R646" t="s">
        <v>74</v>
      </c>
      <c r="S646" t="s">
        <v>74</v>
      </c>
      <c r="T646" t="s">
        <v>74</v>
      </c>
      <c r="U646" t="s">
        <v>8866</v>
      </c>
      <c r="V646" t="s">
        <v>8867</v>
      </c>
      <c r="W646" t="s">
        <v>8868</v>
      </c>
      <c r="X646" t="s">
        <v>8869</v>
      </c>
      <c r="Y646" t="s">
        <v>8870</v>
      </c>
      <c r="Z646" t="s">
        <v>74</v>
      </c>
      <c r="AA646" t="s">
        <v>8871</v>
      </c>
      <c r="AB646" t="s">
        <v>8872</v>
      </c>
      <c r="AC646" t="s">
        <v>74</v>
      </c>
      <c r="AD646" t="s">
        <v>74</v>
      </c>
      <c r="AE646" t="s">
        <v>74</v>
      </c>
      <c r="AF646" t="s">
        <v>74</v>
      </c>
      <c r="AG646">
        <v>39</v>
      </c>
      <c r="AH646">
        <v>123</v>
      </c>
      <c r="AI646">
        <v>138</v>
      </c>
      <c r="AJ646">
        <v>0</v>
      </c>
      <c r="AK646">
        <v>22</v>
      </c>
      <c r="AL646" t="s">
        <v>1013</v>
      </c>
      <c r="AM646" t="s">
        <v>895</v>
      </c>
      <c r="AN646" t="s">
        <v>1014</v>
      </c>
      <c r="AO646" t="s">
        <v>8184</v>
      </c>
      <c r="AP646" t="s">
        <v>74</v>
      </c>
      <c r="AQ646" t="s">
        <v>74</v>
      </c>
      <c r="AR646" t="s">
        <v>8186</v>
      </c>
      <c r="AS646" t="s">
        <v>8187</v>
      </c>
      <c r="AT646" t="s">
        <v>74</v>
      </c>
      <c r="AU646">
        <v>2002</v>
      </c>
      <c r="AV646">
        <v>49</v>
      </c>
      <c r="AW646">
        <v>21</v>
      </c>
      <c r="AX646" t="s">
        <v>74</v>
      </c>
      <c r="AY646" t="s">
        <v>74</v>
      </c>
      <c r="AZ646" t="s">
        <v>74</v>
      </c>
      <c r="BA646" t="s">
        <v>74</v>
      </c>
      <c r="BB646">
        <v>4791</v>
      </c>
      <c r="BC646">
        <v>4806</v>
      </c>
      <c r="BD646" t="s">
        <v>8873</v>
      </c>
      <c r="BE646" t="s">
        <v>8874</v>
      </c>
      <c r="BF646" t="str">
        <f>HYPERLINK("http://dx.doi.org/10.1016/S0967-0645(02)00159-5","http://dx.doi.org/10.1016/S0967-0645(02)00159-5")</f>
        <v>http://dx.doi.org/10.1016/S0967-0645(02)00159-5</v>
      </c>
      <c r="BG646" t="s">
        <v>74</v>
      </c>
      <c r="BH646" t="s">
        <v>74</v>
      </c>
      <c r="BI646">
        <v>16</v>
      </c>
      <c r="BJ646" t="s">
        <v>1155</v>
      </c>
      <c r="BK646" t="s">
        <v>170</v>
      </c>
      <c r="BL646" t="s">
        <v>1155</v>
      </c>
      <c r="BM646" t="s">
        <v>8842</v>
      </c>
      <c r="BN646" t="s">
        <v>74</v>
      </c>
      <c r="BO646" t="s">
        <v>74</v>
      </c>
      <c r="BP646" t="s">
        <v>74</v>
      </c>
      <c r="BQ646" t="s">
        <v>74</v>
      </c>
      <c r="BR646" t="s">
        <v>107</v>
      </c>
      <c r="BS646" t="s">
        <v>8875</v>
      </c>
      <c r="BT646" t="str">
        <f>HYPERLINK("https%3A%2F%2Fwww.webofscience.com%2Fwos%2Fwoscc%2Ffull-record%2FWOS:000178822700005","View Full Record in Web of Science")</f>
        <v>View Full Record in Web of Science</v>
      </c>
    </row>
    <row r="647" spans="1:72" x14ac:dyDescent="0.15">
      <c r="A647" t="s">
        <v>72</v>
      </c>
      <c r="B647" t="s">
        <v>8876</v>
      </c>
      <c r="C647" t="s">
        <v>74</v>
      </c>
      <c r="D647" t="s">
        <v>74</v>
      </c>
      <c r="E647" t="s">
        <v>74</v>
      </c>
      <c r="F647" t="s">
        <v>8876</v>
      </c>
      <c r="G647" t="s">
        <v>74</v>
      </c>
      <c r="H647" t="s">
        <v>74</v>
      </c>
      <c r="I647" t="s">
        <v>8877</v>
      </c>
      <c r="J647" t="s">
        <v>8176</v>
      </c>
      <c r="K647" t="s">
        <v>74</v>
      </c>
      <c r="L647" t="s">
        <v>74</v>
      </c>
      <c r="M647" t="s">
        <v>77</v>
      </c>
      <c r="N647" t="s">
        <v>153</v>
      </c>
      <c r="O647" t="s">
        <v>74</v>
      </c>
      <c r="P647" t="s">
        <v>74</v>
      </c>
      <c r="Q647" t="s">
        <v>74</v>
      </c>
      <c r="R647" t="s">
        <v>74</v>
      </c>
      <c r="S647" t="s">
        <v>74</v>
      </c>
      <c r="T647" t="s">
        <v>74</v>
      </c>
      <c r="U647" t="s">
        <v>8878</v>
      </c>
      <c r="V647" t="s">
        <v>8879</v>
      </c>
      <c r="W647" t="s">
        <v>8880</v>
      </c>
      <c r="X647" t="s">
        <v>8881</v>
      </c>
      <c r="Y647" t="s">
        <v>8882</v>
      </c>
      <c r="Z647" t="s">
        <v>74</v>
      </c>
      <c r="AA647" t="s">
        <v>8883</v>
      </c>
      <c r="AB647" t="s">
        <v>74</v>
      </c>
      <c r="AC647" t="s">
        <v>74</v>
      </c>
      <c r="AD647" t="s">
        <v>74</v>
      </c>
      <c r="AE647" t="s">
        <v>74</v>
      </c>
      <c r="AF647" t="s">
        <v>74</v>
      </c>
      <c r="AG647">
        <v>30</v>
      </c>
      <c r="AH647">
        <v>20</v>
      </c>
      <c r="AI647">
        <v>22</v>
      </c>
      <c r="AJ647">
        <v>0</v>
      </c>
      <c r="AK647">
        <v>3</v>
      </c>
      <c r="AL647" t="s">
        <v>1013</v>
      </c>
      <c r="AM647" t="s">
        <v>895</v>
      </c>
      <c r="AN647" t="s">
        <v>1014</v>
      </c>
      <c r="AO647" t="s">
        <v>8184</v>
      </c>
      <c r="AP647" t="s">
        <v>74</v>
      </c>
      <c r="AQ647" t="s">
        <v>74</v>
      </c>
      <c r="AR647" t="s">
        <v>8186</v>
      </c>
      <c r="AS647" t="s">
        <v>8187</v>
      </c>
      <c r="AT647" t="s">
        <v>74</v>
      </c>
      <c r="AU647">
        <v>2002</v>
      </c>
      <c r="AV647">
        <v>49</v>
      </c>
      <c r="AW647">
        <v>21</v>
      </c>
      <c r="AX647" t="s">
        <v>74</v>
      </c>
      <c r="AY647" t="s">
        <v>74</v>
      </c>
      <c r="AZ647" t="s">
        <v>74</v>
      </c>
      <c r="BA647" t="s">
        <v>74</v>
      </c>
      <c r="BB647">
        <v>4827</v>
      </c>
      <c r="BC647">
        <v>4841</v>
      </c>
      <c r="BD647" t="s">
        <v>8884</v>
      </c>
      <c r="BE647" t="s">
        <v>8885</v>
      </c>
      <c r="BF647" t="str">
        <f>HYPERLINK("http://dx.doi.org/10.1016/S0967-0645(02)00161-3","http://dx.doi.org/10.1016/S0967-0645(02)00161-3")</f>
        <v>http://dx.doi.org/10.1016/S0967-0645(02)00161-3</v>
      </c>
      <c r="BG647" t="s">
        <v>74</v>
      </c>
      <c r="BH647" t="s">
        <v>74</v>
      </c>
      <c r="BI647">
        <v>15</v>
      </c>
      <c r="BJ647" t="s">
        <v>1155</v>
      </c>
      <c r="BK647" t="s">
        <v>170</v>
      </c>
      <c r="BL647" t="s">
        <v>1155</v>
      </c>
      <c r="BM647" t="s">
        <v>8842</v>
      </c>
      <c r="BN647" t="s">
        <v>74</v>
      </c>
      <c r="BO647" t="s">
        <v>74</v>
      </c>
      <c r="BP647" t="s">
        <v>74</v>
      </c>
      <c r="BQ647" t="s">
        <v>74</v>
      </c>
      <c r="BR647" t="s">
        <v>107</v>
      </c>
      <c r="BS647" t="s">
        <v>8886</v>
      </c>
      <c r="BT647" t="str">
        <f>HYPERLINK("https%3A%2F%2Fwww.webofscience.com%2Fwos%2Fwoscc%2Ffull-record%2FWOS:000178822700007","View Full Record in Web of Science")</f>
        <v>View Full Record in Web of Science</v>
      </c>
    </row>
    <row r="648" spans="1:72" x14ac:dyDescent="0.15">
      <c r="A648" t="s">
        <v>72</v>
      </c>
      <c r="B648" t="s">
        <v>8887</v>
      </c>
      <c r="C648" t="s">
        <v>74</v>
      </c>
      <c r="D648" t="s">
        <v>74</v>
      </c>
      <c r="E648" t="s">
        <v>74</v>
      </c>
      <c r="F648" t="s">
        <v>8887</v>
      </c>
      <c r="G648" t="s">
        <v>74</v>
      </c>
      <c r="H648" t="s">
        <v>74</v>
      </c>
      <c r="I648" t="s">
        <v>8888</v>
      </c>
      <c r="J648" t="s">
        <v>8176</v>
      </c>
      <c r="K648" t="s">
        <v>74</v>
      </c>
      <c r="L648" t="s">
        <v>74</v>
      </c>
      <c r="M648" t="s">
        <v>77</v>
      </c>
      <c r="N648" t="s">
        <v>153</v>
      </c>
      <c r="O648" t="s">
        <v>74</v>
      </c>
      <c r="P648" t="s">
        <v>74</v>
      </c>
      <c r="Q648" t="s">
        <v>74</v>
      </c>
      <c r="R648" t="s">
        <v>74</v>
      </c>
      <c r="S648" t="s">
        <v>74</v>
      </c>
      <c r="T648" t="s">
        <v>74</v>
      </c>
      <c r="U648" t="s">
        <v>8889</v>
      </c>
      <c r="V648" t="s">
        <v>8890</v>
      </c>
      <c r="W648" t="s">
        <v>8891</v>
      </c>
      <c r="X648" t="s">
        <v>2368</v>
      </c>
      <c r="Y648" t="s">
        <v>8892</v>
      </c>
      <c r="Z648" t="s">
        <v>74</v>
      </c>
      <c r="AA648" t="s">
        <v>618</v>
      </c>
      <c r="AB648" t="s">
        <v>8893</v>
      </c>
      <c r="AC648" t="s">
        <v>74</v>
      </c>
      <c r="AD648" t="s">
        <v>74</v>
      </c>
      <c r="AE648" t="s">
        <v>74</v>
      </c>
      <c r="AF648" t="s">
        <v>74</v>
      </c>
      <c r="AG648">
        <v>41</v>
      </c>
      <c r="AH648">
        <v>26</v>
      </c>
      <c r="AI648">
        <v>27</v>
      </c>
      <c r="AJ648">
        <v>0</v>
      </c>
      <c r="AK648">
        <v>4</v>
      </c>
      <c r="AL648" t="s">
        <v>1013</v>
      </c>
      <c r="AM648" t="s">
        <v>895</v>
      </c>
      <c r="AN648" t="s">
        <v>1014</v>
      </c>
      <c r="AO648" t="s">
        <v>8184</v>
      </c>
      <c r="AP648" t="s">
        <v>74</v>
      </c>
      <c r="AQ648" t="s">
        <v>74</v>
      </c>
      <c r="AR648" t="s">
        <v>8186</v>
      </c>
      <c r="AS648" t="s">
        <v>8187</v>
      </c>
      <c r="AT648" t="s">
        <v>74</v>
      </c>
      <c r="AU648">
        <v>2002</v>
      </c>
      <c r="AV648">
        <v>49</v>
      </c>
      <c r="AW648">
        <v>21</v>
      </c>
      <c r="AX648" t="s">
        <v>74</v>
      </c>
      <c r="AY648" t="s">
        <v>74</v>
      </c>
      <c r="AZ648" t="s">
        <v>74</v>
      </c>
      <c r="BA648" t="s">
        <v>74</v>
      </c>
      <c r="BB648">
        <v>4843</v>
      </c>
      <c r="BC648">
        <v>4861</v>
      </c>
      <c r="BD648" t="s">
        <v>8894</v>
      </c>
      <c r="BE648" t="s">
        <v>8895</v>
      </c>
      <c r="BF648" t="str">
        <f>HYPERLINK("http://dx.doi.org/10.1016/S0967-0645(02)00162-5","http://dx.doi.org/10.1016/S0967-0645(02)00162-5")</f>
        <v>http://dx.doi.org/10.1016/S0967-0645(02)00162-5</v>
      </c>
      <c r="BG648" t="s">
        <v>74</v>
      </c>
      <c r="BH648" t="s">
        <v>74</v>
      </c>
      <c r="BI648">
        <v>19</v>
      </c>
      <c r="BJ648" t="s">
        <v>1155</v>
      </c>
      <c r="BK648" t="s">
        <v>170</v>
      </c>
      <c r="BL648" t="s">
        <v>1155</v>
      </c>
      <c r="BM648" t="s">
        <v>8842</v>
      </c>
      <c r="BN648" t="s">
        <v>74</v>
      </c>
      <c r="BO648" t="s">
        <v>74</v>
      </c>
      <c r="BP648" t="s">
        <v>74</v>
      </c>
      <c r="BQ648" t="s">
        <v>74</v>
      </c>
      <c r="BR648" t="s">
        <v>107</v>
      </c>
      <c r="BS648" t="s">
        <v>8896</v>
      </c>
      <c r="BT648" t="str">
        <f>HYPERLINK("https%3A%2F%2Fwww.webofscience.com%2Fwos%2Fwoscc%2Ffull-record%2FWOS:000178822700008","View Full Record in Web of Science")</f>
        <v>View Full Record in Web of Science</v>
      </c>
    </row>
    <row r="649" spans="1:72" x14ac:dyDescent="0.15">
      <c r="A649" t="s">
        <v>72</v>
      </c>
      <c r="B649" t="s">
        <v>8897</v>
      </c>
      <c r="C649" t="s">
        <v>74</v>
      </c>
      <c r="D649" t="s">
        <v>74</v>
      </c>
      <c r="E649" t="s">
        <v>74</v>
      </c>
      <c r="F649" t="s">
        <v>8897</v>
      </c>
      <c r="G649" t="s">
        <v>74</v>
      </c>
      <c r="H649" t="s">
        <v>74</v>
      </c>
      <c r="I649" t="s">
        <v>8898</v>
      </c>
      <c r="J649" t="s">
        <v>8176</v>
      </c>
      <c r="K649" t="s">
        <v>74</v>
      </c>
      <c r="L649" t="s">
        <v>74</v>
      </c>
      <c r="M649" t="s">
        <v>77</v>
      </c>
      <c r="N649" t="s">
        <v>153</v>
      </c>
      <c r="O649" t="s">
        <v>74</v>
      </c>
      <c r="P649" t="s">
        <v>74</v>
      </c>
      <c r="Q649" t="s">
        <v>74</v>
      </c>
      <c r="R649" t="s">
        <v>74</v>
      </c>
      <c r="S649" t="s">
        <v>74</v>
      </c>
      <c r="T649" t="s">
        <v>74</v>
      </c>
      <c r="U649" t="s">
        <v>8899</v>
      </c>
      <c r="V649" t="s">
        <v>8900</v>
      </c>
      <c r="W649" t="s">
        <v>8901</v>
      </c>
      <c r="X649" t="s">
        <v>8902</v>
      </c>
      <c r="Y649" t="s">
        <v>8903</v>
      </c>
      <c r="Z649" t="s">
        <v>8904</v>
      </c>
      <c r="AA649" t="s">
        <v>74</v>
      </c>
      <c r="AB649" t="s">
        <v>8905</v>
      </c>
      <c r="AC649" t="s">
        <v>74</v>
      </c>
      <c r="AD649" t="s">
        <v>74</v>
      </c>
      <c r="AE649" t="s">
        <v>74</v>
      </c>
      <c r="AF649" t="s">
        <v>74</v>
      </c>
      <c r="AG649">
        <v>41</v>
      </c>
      <c r="AH649">
        <v>49</v>
      </c>
      <c r="AI649">
        <v>53</v>
      </c>
      <c r="AJ649">
        <v>0</v>
      </c>
      <c r="AK649">
        <v>5</v>
      </c>
      <c r="AL649" t="s">
        <v>1013</v>
      </c>
      <c r="AM649" t="s">
        <v>895</v>
      </c>
      <c r="AN649" t="s">
        <v>1014</v>
      </c>
      <c r="AO649" t="s">
        <v>8184</v>
      </c>
      <c r="AP649" t="s">
        <v>8185</v>
      </c>
      <c r="AQ649" t="s">
        <v>74</v>
      </c>
      <c r="AR649" t="s">
        <v>8186</v>
      </c>
      <c r="AS649" t="s">
        <v>8187</v>
      </c>
      <c r="AT649" t="s">
        <v>74</v>
      </c>
      <c r="AU649">
        <v>2002</v>
      </c>
      <c r="AV649">
        <v>49</v>
      </c>
      <c r="AW649">
        <v>21</v>
      </c>
      <c r="AX649" t="s">
        <v>74</v>
      </c>
      <c r="AY649" t="s">
        <v>74</v>
      </c>
      <c r="AZ649" t="s">
        <v>74</v>
      </c>
      <c r="BA649" t="s">
        <v>74</v>
      </c>
      <c r="BB649">
        <v>4863</v>
      </c>
      <c r="BC649">
        <v>4886</v>
      </c>
      <c r="BD649" t="s">
        <v>8906</v>
      </c>
      <c r="BE649" t="s">
        <v>8907</v>
      </c>
      <c r="BF649" t="str">
        <f>HYPERLINK("http://dx.doi.org/10.1016/S0967-0645(02)00163-7","http://dx.doi.org/10.1016/S0967-0645(02)00163-7")</f>
        <v>http://dx.doi.org/10.1016/S0967-0645(02)00163-7</v>
      </c>
      <c r="BG649" t="s">
        <v>74</v>
      </c>
      <c r="BH649" t="s">
        <v>74</v>
      </c>
      <c r="BI649">
        <v>24</v>
      </c>
      <c r="BJ649" t="s">
        <v>1155</v>
      </c>
      <c r="BK649" t="s">
        <v>170</v>
      </c>
      <c r="BL649" t="s">
        <v>1155</v>
      </c>
      <c r="BM649" t="s">
        <v>8842</v>
      </c>
      <c r="BN649" t="s">
        <v>74</v>
      </c>
      <c r="BO649" t="s">
        <v>74</v>
      </c>
      <c r="BP649" t="s">
        <v>74</v>
      </c>
      <c r="BQ649" t="s">
        <v>74</v>
      </c>
      <c r="BR649" t="s">
        <v>107</v>
      </c>
      <c r="BS649" t="s">
        <v>8908</v>
      </c>
      <c r="BT649" t="str">
        <f>HYPERLINK("https%3A%2F%2Fwww.webofscience.com%2Fwos%2Fwoscc%2Ffull-record%2FWOS:000178822700009","View Full Record in Web of Science")</f>
        <v>View Full Record in Web of Science</v>
      </c>
    </row>
    <row r="650" spans="1:72" x14ac:dyDescent="0.15">
      <c r="A650" t="s">
        <v>72</v>
      </c>
      <c r="B650" t="s">
        <v>8909</v>
      </c>
      <c r="C650" t="s">
        <v>74</v>
      </c>
      <c r="D650" t="s">
        <v>74</v>
      </c>
      <c r="E650" t="s">
        <v>74</v>
      </c>
      <c r="F650" t="s">
        <v>8909</v>
      </c>
      <c r="G650" t="s">
        <v>74</v>
      </c>
      <c r="H650" t="s">
        <v>74</v>
      </c>
      <c r="I650" t="s">
        <v>8910</v>
      </c>
      <c r="J650" t="s">
        <v>8176</v>
      </c>
      <c r="K650" t="s">
        <v>74</v>
      </c>
      <c r="L650" t="s">
        <v>74</v>
      </c>
      <c r="M650" t="s">
        <v>77</v>
      </c>
      <c r="N650" t="s">
        <v>153</v>
      </c>
      <c r="O650" t="s">
        <v>74</v>
      </c>
      <c r="P650" t="s">
        <v>74</v>
      </c>
      <c r="Q650" t="s">
        <v>74</v>
      </c>
      <c r="R650" t="s">
        <v>74</v>
      </c>
      <c r="S650" t="s">
        <v>74</v>
      </c>
      <c r="T650" t="s">
        <v>74</v>
      </c>
      <c r="U650" t="s">
        <v>8911</v>
      </c>
      <c r="V650" t="s">
        <v>8912</v>
      </c>
      <c r="W650" t="s">
        <v>8913</v>
      </c>
      <c r="X650" t="s">
        <v>8914</v>
      </c>
      <c r="Y650" t="s">
        <v>8915</v>
      </c>
      <c r="Z650" t="s">
        <v>8916</v>
      </c>
      <c r="AA650" t="s">
        <v>8917</v>
      </c>
      <c r="AB650" t="s">
        <v>8918</v>
      </c>
      <c r="AC650" t="s">
        <v>74</v>
      </c>
      <c r="AD650" t="s">
        <v>74</v>
      </c>
      <c r="AE650" t="s">
        <v>74</v>
      </c>
      <c r="AF650" t="s">
        <v>74</v>
      </c>
      <c r="AG650">
        <v>77</v>
      </c>
      <c r="AH650">
        <v>46</v>
      </c>
      <c r="AI650">
        <v>56</v>
      </c>
      <c r="AJ650">
        <v>1</v>
      </c>
      <c r="AK650">
        <v>14</v>
      </c>
      <c r="AL650" t="s">
        <v>1013</v>
      </c>
      <c r="AM650" t="s">
        <v>895</v>
      </c>
      <c r="AN650" t="s">
        <v>1014</v>
      </c>
      <c r="AO650" t="s">
        <v>8184</v>
      </c>
      <c r="AP650" t="s">
        <v>8185</v>
      </c>
      <c r="AQ650" t="s">
        <v>74</v>
      </c>
      <c r="AR650" t="s">
        <v>8186</v>
      </c>
      <c r="AS650" t="s">
        <v>8187</v>
      </c>
      <c r="AT650" t="s">
        <v>74</v>
      </c>
      <c r="AU650">
        <v>2002</v>
      </c>
      <c r="AV650">
        <v>49</v>
      </c>
      <c r="AW650" t="s">
        <v>8919</v>
      </c>
      <c r="AX650" t="s">
        <v>74</v>
      </c>
      <c r="AY650" t="s">
        <v>74</v>
      </c>
      <c r="AZ650" t="s">
        <v>74</v>
      </c>
      <c r="BA650" t="s">
        <v>74</v>
      </c>
      <c r="BB650">
        <v>5171</v>
      </c>
      <c r="BC650">
        <v>5189</v>
      </c>
      <c r="BD650" t="s">
        <v>8920</v>
      </c>
      <c r="BE650" t="s">
        <v>8921</v>
      </c>
      <c r="BF650" t="str">
        <f>HYPERLINK("http://dx.doi.org/10.1016/S0967-0645(02)00184-4","http://dx.doi.org/10.1016/S0967-0645(02)00184-4")</f>
        <v>http://dx.doi.org/10.1016/S0967-0645(02)00184-4</v>
      </c>
      <c r="BG650" t="s">
        <v>74</v>
      </c>
      <c r="BH650" t="s">
        <v>74</v>
      </c>
      <c r="BI650">
        <v>19</v>
      </c>
      <c r="BJ650" t="s">
        <v>1155</v>
      </c>
      <c r="BK650" t="s">
        <v>170</v>
      </c>
      <c r="BL650" t="s">
        <v>1155</v>
      </c>
      <c r="BM650" t="s">
        <v>8922</v>
      </c>
      <c r="BN650" t="s">
        <v>74</v>
      </c>
      <c r="BO650" t="s">
        <v>74</v>
      </c>
      <c r="BP650" t="s">
        <v>74</v>
      </c>
      <c r="BQ650" t="s">
        <v>74</v>
      </c>
      <c r="BR650" t="s">
        <v>107</v>
      </c>
      <c r="BS650" t="s">
        <v>8923</v>
      </c>
      <c r="BT650" t="str">
        <f>HYPERLINK("https%3A%2F%2Fwww.webofscience.com%2Fwos%2Fwoscc%2Ffull-record%2FWOS:000179055800017","View Full Record in Web of Science")</f>
        <v>View Full Record in Web of Science</v>
      </c>
    </row>
    <row r="651" spans="1:72" x14ac:dyDescent="0.15">
      <c r="A651" t="s">
        <v>72</v>
      </c>
      <c r="B651" t="s">
        <v>8924</v>
      </c>
      <c r="C651" t="s">
        <v>74</v>
      </c>
      <c r="D651" t="s">
        <v>74</v>
      </c>
      <c r="E651" t="s">
        <v>74</v>
      </c>
      <c r="F651" t="s">
        <v>8924</v>
      </c>
      <c r="G651" t="s">
        <v>74</v>
      </c>
      <c r="H651" t="s">
        <v>74</v>
      </c>
      <c r="I651" t="s">
        <v>8925</v>
      </c>
      <c r="J651" t="s">
        <v>8176</v>
      </c>
      <c r="K651" t="s">
        <v>74</v>
      </c>
      <c r="L651" t="s">
        <v>74</v>
      </c>
      <c r="M651" t="s">
        <v>77</v>
      </c>
      <c r="N651" t="s">
        <v>153</v>
      </c>
      <c r="O651" t="s">
        <v>74</v>
      </c>
      <c r="P651" t="s">
        <v>74</v>
      </c>
      <c r="Q651" t="s">
        <v>74</v>
      </c>
      <c r="R651" t="s">
        <v>74</v>
      </c>
      <c r="S651" t="s">
        <v>74</v>
      </c>
      <c r="T651" t="s">
        <v>74</v>
      </c>
      <c r="U651" t="s">
        <v>8926</v>
      </c>
      <c r="V651" t="s">
        <v>8927</v>
      </c>
      <c r="W651" t="s">
        <v>8928</v>
      </c>
      <c r="X651" t="s">
        <v>8929</v>
      </c>
      <c r="Y651" t="s">
        <v>8930</v>
      </c>
      <c r="Z651" t="s">
        <v>8931</v>
      </c>
      <c r="AA651" t="s">
        <v>74</v>
      </c>
      <c r="AB651" t="s">
        <v>74</v>
      </c>
      <c r="AC651" t="s">
        <v>74</v>
      </c>
      <c r="AD651" t="s">
        <v>74</v>
      </c>
      <c r="AE651" t="s">
        <v>74</v>
      </c>
      <c r="AF651" t="s">
        <v>74</v>
      </c>
      <c r="AG651">
        <v>80</v>
      </c>
      <c r="AH651">
        <v>37</v>
      </c>
      <c r="AI651">
        <v>41</v>
      </c>
      <c r="AJ651">
        <v>0</v>
      </c>
      <c r="AK651">
        <v>11</v>
      </c>
      <c r="AL651" t="s">
        <v>1013</v>
      </c>
      <c r="AM651" t="s">
        <v>895</v>
      </c>
      <c r="AN651" t="s">
        <v>1014</v>
      </c>
      <c r="AO651" t="s">
        <v>8184</v>
      </c>
      <c r="AP651" t="s">
        <v>8185</v>
      </c>
      <c r="AQ651" t="s">
        <v>74</v>
      </c>
      <c r="AR651" t="s">
        <v>8186</v>
      </c>
      <c r="AS651" t="s">
        <v>8187</v>
      </c>
      <c r="AT651" t="s">
        <v>74</v>
      </c>
      <c r="AU651">
        <v>2002</v>
      </c>
      <c r="AV651">
        <v>49</v>
      </c>
      <c r="AW651" t="s">
        <v>8932</v>
      </c>
      <c r="AX651" t="s">
        <v>74</v>
      </c>
      <c r="AY651" t="s">
        <v>74</v>
      </c>
      <c r="AZ651" t="s">
        <v>74</v>
      </c>
      <c r="BA651" t="s">
        <v>74</v>
      </c>
      <c r="BB651">
        <v>5717</v>
      </c>
      <c r="BC651">
        <v>5738</v>
      </c>
      <c r="BD651" t="s">
        <v>8933</v>
      </c>
      <c r="BE651" t="s">
        <v>8934</v>
      </c>
      <c r="BF651" t="str">
        <f>HYPERLINK("http://dx.doi.org/10.1016/S0967-0645(02)00211-4","http://dx.doi.org/10.1016/S0967-0645(02)00211-4")</f>
        <v>http://dx.doi.org/10.1016/S0967-0645(02)00211-4</v>
      </c>
      <c r="BG651" t="s">
        <v>74</v>
      </c>
      <c r="BH651" t="s">
        <v>74</v>
      </c>
      <c r="BI651">
        <v>22</v>
      </c>
      <c r="BJ651" t="s">
        <v>1155</v>
      </c>
      <c r="BK651" t="s">
        <v>170</v>
      </c>
      <c r="BL651" t="s">
        <v>1155</v>
      </c>
      <c r="BM651" t="s">
        <v>8935</v>
      </c>
      <c r="BN651" t="s">
        <v>74</v>
      </c>
      <c r="BO651" t="s">
        <v>74</v>
      </c>
      <c r="BP651" t="s">
        <v>74</v>
      </c>
      <c r="BQ651" t="s">
        <v>74</v>
      </c>
      <c r="BR651" t="s">
        <v>107</v>
      </c>
      <c r="BS651" t="s">
        <v>8936</v>
      </c>
      <c r="BT651" t="str">
        <f>HYPERLINK("https%3A%2F%2Fwww.webofscience.com%2Fwos%2Fwoscc%2Ffull-record%2FWOS:000179008300024","View Full Record in Web of Science")</f>
        <v>View Full Record in Web of Science</v>
      </c>
    </row>
    <row r="652" spans="1:72" x14ac:dyDescent="0.15">
      <c r="A652" t="s">
        <v>6989</v>
      </c>
      <c r="B652" t="s">
        <v>6473</v>
      </c>
      <c r="C652" t="s">
        <v>74</v>
      </c>
      <c r="D652" t="s">
        <v>8937</v>
      </c>
      <c r="E652" t="s">
        <v>74</v>
      </c>
      <c r="F652" t="s">
        <v>6473</v>
      </c>
      <c r="G652" t="s">
        <v>74</v>
      </c>
      <c r="H652" t="s">
        <v>74</v>
      </c>
      <c r="I652" t="s">
        <v>8938</v>
      </c>
      <c r="J652" t="s">
        <v>8939</v>
      </c>
      <c r="K652" t="s">
        <v>74</v>
      </c>
      <c r="L652" t="s">
        <v>74</v>
      </c>
      <c r="M652" t="s">
        <v>77</v>
      </c>
      <c r="N652" t="s">
        <v>6994</v>
      </c>
      <c r="O652" t="s">
        <v>8940</v>
      </c>
      <c r="P652" t="s">
        <v>8941</v>
      </c>
      <c r="Q652" t="s">
        <v>8942</v>
      </c>
      <c r="R652" t="s">
        <v>74</v>
      </c>
      <c r="S652" t="s">
        <v>8943</v>
      </c>
      <c r="T652" t="s">
        <v>74</v>
      </c>
      <c r="U652" t="s">
        <v>8944</v>
      </c>
      <c r="V652" t="s">
        <v>74</v>
      </c>
      <c r="W652" t="s">
        <v>8945</v>
      </c>
      <c r="X652" t="s">
        <v>8946</v>
      </c>
      <c r="Y652" t="s">
        <v>8947</v>
      </c>
      <c r="Z652" t="s">
        <v>74</v>
      </c>
      <c r="AA652" t="s">
        <v>74</v>
      </c>
      <c r="AB652" t="s">
        <v>74</v>
      </c>
      <c r="AC652" t="s">
        <v>74</v>
      </c>
      <c r="AD652" t="s">
        <v>74</v>
      </c>
      <c r="AE652" t="s">
        <v>74</v>
      </c>
      <c r="AF652" t="s">
        <v>74</v>
      </c>
      <c r="AG652">
        <v>80</v>
      </c>
      <c r="AH652">
        <v>7</v>
      </c>
      <c r="AI652">
        <v>7</v>
      </c>
      <c r="AJ652">
        <v>0</v>
      </c>
      <c r="AK652">
        <v>9</v>
      </c>
      <c r="AL652" t="s">
        <v>7689</v>
      </c>
      <c r="AM652" t="s">
        <v>895</v>
      </c>
      <c r="AN652" t="s">
        <v>7690</v>
      </c>
      <c r="AO652" t="s">
        <v>74</v>
      </c>
      <c r="AP652" t="s">
        <v>74</v>
      </c>
      <c r="AQ652" t="s">
        <v>8948</v>
      </c>
      <c r="AR652" t="s">
        <v>74</v>
      </c>
      <c r="AS652" t="s">
        <v>74</v>
      </c>
      <c r="AT652" t="s">
        <v>74</v>
      </c>
      <c r="AU652">
        <v>2002</v>
      </c>
      <c r="AV652" t="s">
        <v>74</v>
      </c>
      <c r="AW652" t="s">
        <v>74</v>
      </c>
      <c r="AX652" t="s">
        <v>74</v>
      </c>
      <c r="AY652" t="s">
        <v>74</v>
      </c>
      <c r="AZ652" t="s">
        <v>74</v>
      </c>
      <c r="BA652" t="s">
        <v>74</v>
      </c>
      <c r="BB652">
        <v>72</v>
      </c>
      <c r="BC652">
        <v>88</v>
      </c>
      <c r="BD652" t="s">
        <v>74</v>
      </c>
      <c r="BE652" t="s">
        <v>74</v>
      </c>
      <c r="BF652" t="s">
        <v>74</v>
      </c>
      <c r="BG652" t="s">
        <v>74</v>
      </c>
      <c r="BH652" t="s">
        <v>74</v>
      </c>
      <c r="BI652">
        <v>9</v>
      </c>
      <c r="BJ652" t="s">
        <v>8949</v>
      </c>
      <c r="BK652" t="s">
        <v>7004</v>
      </c>
      <c r="BL652" t="s">
        <v>8950</v>
      </c>
      <c r="BM652" t="s">
        <v>8951</v>
      </c>
      <c r="BN652" t="s">
        <v>74</v>
      </c>
      <c r="BO652" t="s">
        <v>74</v>
      </c>
      <c r="BP652" t="s">
        <v>74</v>
      </c>
      <c r="BQ652" t="s">
        <v>74</v>
      </c>
      <c r="BR652" t="s">
        <v>107</v>
      </c>
      <c r="BS652" t="s">
        <v>8952</v>
      </c>
      <c r="BT652" t="str">
        <f>HYPERLINK("https%3A%2F%2Fwww.webofscience.com%2Fwos%2Fwoscc%2Ffull-record%2FWOS:000178887100004","View Full Record in Web of Science")</f>
        <v>View Full Record in Web of Science</v>
      </c>
    </row>
    <row r="653" spans="1:72" x14ac:dyDescent="0.15">
      <c r="A653" t="s">
        <v>6989</v>
      </c>
      <c r="B653" t="s">
        <v>8953</v>
      </c>
      <c r="C653" t="s">
        <v>74</v>
      </c>
      <c r="D653" t="s">
        <v>8954</v>
      </c>
      <c r="E653" t="s">
        <v>74</v>
      </c>
      <c r="F653" t="s">
        <v>8953</v>
      </c>
      <c r="G653" t="s">
        <v>74</v>
      </c>
      <c r="H653" t="s">
        <v>74</v>
      </c>
      <c r="I653" t="s">
        <v>8955</v>
      </c>
      <c r="J653" t="s">
        <v>8956</v>
      </c>
      <c r="K653" t="s">
        <v>8957</v>
      </c>
      <c r="L653" t="s">
        <v>74</v>
      </c>
      <c r="M653" t="s">
        <v>77</v>
      </c>
      <c r="N653" t="s">
        <v>6994</v>
      </c>
      <c r="O653" t="s">
        <v>8958</v>
      </c>
      <c r="P653" t="s">
        <v>8959</v>
      </c>
      <c r="Q653" t="s">
        <v>8960</v>
      </c>
      <c r="R653" t="s">
        <v>74</v>
      </c>
      <c r="S653" t="s">
        <v>8961</v>
      </c>
      <c r="T653" t="s">
        <v>74</v>
      </c>
      <c r="U653" t="s">
        <v>74</v>
      </c>
      <c r="V653" t="s">
        <v>8962</v>
      </c>
      <c r="W653" t="s">
        <v>8963</v>
      </c>
      <c r="X653" t="s">
        <v>8964</v>
      </c>
      <c r="Y653" t="s">
        <v>8965</v>
      </c>
      <c r="Z653" t="s">
        <v>74</v>
      </c>
      <c r="AA653" t="s">
        <v>74</v>
      </c>
      <c r="AB653" t="s">
        <v>8966</v>
      </c>
      <c r="AC653" t="s">
        <v>74</v>
      </c>
      <c r="AD653" t="s">
        <v>74</v>
      </c>
      <c r="AE653" t="s">
        <v>74</v>
      </c>
      <c r="AF653" t="s">
        <v>74</v>
      </c>
      <c r="AG653">
        <v>5</v>
      </c>
      <c r="AH653">
        <v>0</v>
      </c>
      <c r="AI653">
        <v>0</v>
      </c>
      <c r="AJ653">
        <v>0</v>
      </c>
      <c r="AK653">
        <v>1</v>
      </c>
      <c r="AL653" t="s">
        <v>1013</v>
      </c>
      <c r="AM653" t="s">
        <v>7060</v>
      </c>
      <c r="AN653" t="s">
        <v>7061</v>
      </c>
      <c r="AO653" t="s">
        <v>74</v>
      </c>
      <c r="AP653" t="s">
        <v>74</v>
      </c>
      <c r="AQ653" t="s">
        <v>8967</v>
      </c>
      <c r="AR653" t="s">
        <v>8968</v>
      </c>
      <c r="AS653" t="s">
        <v>74</v>
      </c>
      <c r="AT653" t="s">
        <v>74</v>
      </c>
      <c r="AU653">
        <v>2002</v>
      </c>
      <c r="AV653">
        <v>15</v>
      </c>
      <c r="AW653" t="s">
        <v>74</v>
      </c>
      <c r="AX653" t="s">
        <v>74</v>
      </c>
      <c r="AY653" t="s">
        <v>74</v>
      </c>
      <c r="AZ653" t="s">
        <v>74</v>
      </c>
      <c r="BA653" t="s">
        <v>74</v>
      </c>
      <c r="BB653">
        <v>15</v>
      </c>
      <c r="BC653">
        <v>18</v>
      </c>
      <c r="BD653" t="s">
        <v>74</v>
      </c>
      <c r="BE653" t="s">
        <v>74</v>
      </c>
      <c r="BF653" t="s">
        <v>74</v>
      </c>
      <c r="BG653" t="s">
        <v>74</v>
      </c>
      <c r="BH653" t="s">
        <v>74</v>
      </c>
      <c r="BI653">
        <v>4</v>
      </c>
      <c r="BJ653" t="s">
        <v>1856</v>
      </c>
      <c r="BK653" t="s">
        <v>7004</v>
      </c>
      <c r="BL653" t="s">
        <v>1856</v>
      </c>
      <c r="BM653" t="s">
        <v>8969</v>
      </c>
      <c r="BN653" t="s">
        <v>74</v>
      </c>
      <c r="BO653" t="s">
        <v>74</v>
      </c>
      <c r="BP653" t="s">
        <v>74</v>
      </c>
      <c r="BQ653" t="s">
        <v>74</v>
      </c>
      <c r="BR653" t="s">
        <v>107</v>
      </c>
      <c r="BS653" t="s">
        <v>8970</v>
      </c>
      <c r="BT653" t="str">
        <f>HYPERLINK("https%3A%2F%2Fwww.webofscience.com%2Fwos%2Fwoscc%2Ffull-record%2FWOS:000180813900002","View Full Record in Web of Science")</f>
        <v>View Full Record in Web of Science</v>
      </c>
    </row>
    <row r="654" spans="1:72" x14ac:dyDescent="0.15">
      <c r="A654" t="s">
        <v>6989</v>
      </c>
      <c r="B654" t="s">
        <v>8971</v>
      </c>
      <c r="C654" t="s">
        <v>74</v>
      </c>
      <c r="D654" t="s">
        <v>8954</v>
      </c>
      <c r="E654" t="s">
        <v>74</v>
      </c>
      <c r="F654" t="s">
        <v>8971</v>
      </c>
      <c r="G654" t="s">
        <v>74</v>
      </c>
      <c r="H654" t="s">
        <v>74</v>
      </c>
      <c r="I654" t="s">
        <v>8972</v>
      </c>
      <c r="J654" t="s">
        <v>8956</v>
      </c>
      <c r="K654" t="s">
        <v>8957</v>
      </c>
      <c r="L654" t="s">
        <v>74</v>
      </c>
      <c r="M654" t="s">
        <v>77</v>
      </c>
      <c r="N654" t="s">
        <v>6994</v>
      </c>
      <c r="O654" t="s">
        <v>8958</v>
      </c>
      <c r="P654" t="s">
        <v>8959</v>
      </c>
      <c r="Q654" t="s">
        <v>8960</v>
      </c>
      <c r="R654" t="s">
        <v>74</v>
      </c>
      <c r="S654" t="s">
        <v>8961</v>
      </c>
      <c r="T654" t="s">
        <v>74</v>
      </c>
      <c r="U654" t="s">
        <v>8973</v>
      </c>
      <c r="V654" t="s">
        <v>8974</v>
      </c>
      <c r="W654" t="s">
        <v>8975</v>
      </c>
      <c r="X654" t="s">
        <v>8976</v>
      </c>
      <c r="Y654" t="s">
        <v>8977</v>
      </c>
      <c r="Z654" t="s">
        <v>74</v>
      </c>
      <c r="AA654" t="s">
        <v>8978</v>
      </c>
      <c r="AB654" t="s">
        <v>8979</v>
      </c>
      <c r="AC654" t="s">
        <v>74</v>
      </c>
      <c r="AD654" t="s">
        <v>74</v>
      </c>
      <c r="AE654" t="s">
        <v>74</v>
      </c>
      <c r="AF654" t="s">
        <v>74</v>
      </c>
      <c r="AG654">
        <v>14</v>
      </c>
      <c r="AH654">
        <v>0</v>
      </c>
      <c r="AI654">
        <v>0</v>
      </c>
      <c r="AJ654">
        <v>0</v>
      </c>
      <c r="AK654">
        <v>1</v>
      </c>
      <c r="AL654" t="s">
        <v>1013</v>
      </c>
      <c r="AM654" t="s">
        <v>7060</v>
      </c>
      <c r="AN654" t="s">
        <v>7061</v>
      </c>
      <c r="AO654" t="s">
        <v>74</v>
      </c>
      <c r="AP654" t="s">
        <v>74</v>
      </c>
      <c r="AQ654" t="s">
        <v>8967</v>
      </c>
      <c r="AR654" t="s">
        <v>8968</v>
      </c>
      <c r="AS654" t="s">
        <v>74</v>
      </c>
      <c r="AT654" t="s">
        <v>74</v>
      </c>
      <c r="AU654">
        <v>2002</v>
      </c>
      <c r="AV654">
        <v>15</v>
      </c>
      <c r="AW654" t="s">
        <v>74</v>
      </c>
      <c r="AX654" t="s">
        <v>74</v>
      </c>
      <c r="AY654" t="s">
        <v>74</v>
      </c>
      <c r="AZ654" t="s">
        <v>74</v>
      </c>
      <c r="BA654" t="s">
        <v>74</v>
      </c>
      <c r="BB654">
        <v>392</v>
      </c>
      <c r="BC654">
        <v>395</v>
      </c>
      <c r="BD654" t="s">
        <v>74</v>
      </c>
      <c r="BE654" t="s">
        <v>74</v>
      </c>
      <c r="BF654" t="s">
        <v>74</v>
      </c>
      <c r="BG654" t="s">
        <v>74</v>
      </c>
      <c r="BH654" t="s">
        <v>74</v>
      </c>
      <c r="BI654">
        <v>4</v>
      </c>
      <c r="BJ654" t="s">
        <v>1856</v>
      </c>
      <c r="BK654" t="s">
        <v>7004</v>
      </c>
      <c r="BL654" t="s">
        <v>1856</v>
      </c>
      <c r="BM654" t="s">
        <v>8969</v>
      </c>
      <c r="BN654" t="s">
        <v>74</v>
      </c>
      <c r="BO654" t="s">
        <v>74</v>
      </c>
      <c r="BP654" t="s">
        <v>74</v>
      </c>
      <c r="BQ654" t="s">
        <v>74</v>
      </c>
      <c r="BR654" t="s">
        <v>107</v>
      </c>
      <c r="BS654" t="s">
        <v>8980</v>
      </c>
      <c r="BT654" t="str">
        <f>HYPERLINK("https%3A%2F%2Fwww.webofscience.com%2Fwos%2Fwoscc%2Ffull-record%2FWOS:000180813900057","View Full Record in Web of Science")</f>
        <v>View Full Record in Web of Science</v>
      </c>
    </row>
    <row r="655" spans="1:72" x14ac:dyDescent="0.15">
      <c r="A655" t="s">
        <v>1051</v>
      </c>
      <c r="B655" t="s">
        <v>8981</v>
      </c>
      <c r="C655" t="s">
        <v>74</v>
      </c>
      <c r="D655" t="s">
        <v>8982</v>
      </c>
      <c r="E655" t="s">
        <v>74</v>
      </c>
      <c r="F655" t="s">
        <v>8981</v>
      </c>
      <c r="G655" t="s">
        <v>74</v>
      </c>
      <c r="H655" t="s">
        <v>74</v>
      </c>
      <c r="I655" t="s">
        <v>8983</v>
      </c>
      <c r="J655" t="s">
        <v>8984</v>
      </c>
      <c r="K655" t="s">
        <v>8985</v>
      </c>
      <c r="L655" t="s">
        <v>74</v>
      </c>
      <c r="M655" t="s">
        <v>77</v>
      </c>
      <c r="N655" t="s">
        <v>78</v>
      </c>
      <c r="O655" t="s">
        <v>8986</v>
      </c>
      <c r="P655" t="s">
        <v>7054</v>
      </c>
      <c r="Q655" t="s">
        <v>7055</v>
      </c>
      <c r="R655" t="s">
        <v>74</v>
      </c>
      <c r="S655" t="s">
        <v>74</v>
      </c>
      <c r="T655" t="s">
        <v>74</v>
      </c>
      <c r="U655" t="s">
        <v>8987</v>
      </c>
      <c r="V655" t="s">
        <v>8988</v>
      </c>
      <c r="W655" t="s">
        <v>8989</v>
      </c>
      <c r="X655" t="s">
        <v>5282</v>
      </c>
      <c r="Y655" t="s">
        <v>5396</v>
      </c>
      <c r="Z655" t="s">
        <v>74</v>
      </c>
      <c r="AA655" t="s">
        <v>8990</v>
      </c>
      <c r="AB655" t="s">
        <v>8991</v>
      </c>
      <c r="AC655" t="s">
        <v>74</v>
      </c>
      <c r="AD655" t="s">
        <v>74</v>
      </c>
      <c r="AE655" t="s">
        <v>74</v>
      </c>
      <c r="AF655" t="s">
        <v>74</v>
      </c>
      <c r="AG655">
        <v>9</v>
      </c>
      <c r="AH655">
        <v>17</v>
      </c>
      <c r="AI655">
        <v>17</v>
      </c>
      <c r="AJ655">
        <v>0</v>
      </c>
      <c r="AK655">
        <v>0</v>
      </c>
      <c r="AL655" t="s">
        <v>1013</v>
      </c>
      <c r="AM655" t="s">
        <v>895</v>
      </c>
      <c r="AN655" t="s">
        <v>1014</v>
      </c>
      <c r="AO655" t="s">
        <v>7062</v>
      </c>
      <c r="AP655" t="s">
        <v>74</v>
      </c>
      <c r="AQ655" t="s">
        <v>74</v>
      </c>
      <c r="AR655" t="s">
        <v>8992</v>
      </c>
      <c r="AS655" t="s">
        <v>74</v>
      </c>
      <c r="AT655" t="s">
        <v>74</v>
      </c>
      <c r="AU655">
        <v>2002</v>
      </c>
      <c r="AV655">
        <v>30</v>
      </c>
      <c r="AW655">
        <v>12</v>
      </c>
      <c r="AX655" t="s">
        <v>74</v>
      </c>
      <c r="AY655" t="s">
        <v>74</v>
      </c>
      <c r="AZ655" t="s">
        <v>74</v>
      </c>
      <c r="BA655" t="s">
        <v>74</v>
      </c>
      <c r="BB655">
        <v>2683</v>
      </c>
      <c r="BC655">
        <v>2687</v>
      </c>
      <c r="BD655" t="s">
        <v>8993</v>
      </c>
      <c r="BE655" t="s">
        <v>8994</v>
      </c>
      <c r="BF655" t="str">
        <f>HYPERLINK("http://dx.doi.org/10.1016/S0273-1177(02)80382-9","http://dx.doi.org/10.1016/S0273-1177(02)80382-9")</f>
        <v>http://dx.doi.org/10.1016/S0273-1177(02)80382-9</v>
      </c>
      <c r="BG655" t="s">
        <v>74</v>
      </c>
      <c r="BH655" t="s">
        <v>74</v>
      </c>
      <c r="BI655">
        <v>5</v>
      </c>
      <c r="BJ655" t="s">
        <v>7066</v>
      </c>
      <c r="BK655" t="s">
        <v>744</v>
      </c>
      <c r="BL655" t="s">
        <v>7067</v>
      </c>
      <c r="BM655" t="s">
        <v>8995</v>
      </c>
      <c r="BN655" t="s">
        <v>74</v>
      </c>
      <c r="BO655" t="s">
        <v>74</v>
      </c>
      <c r="BP655" t="s">
        <v>74</v>
      </c>
      <c r="BQ655" t="s">
        <v>74</v>
      </c>
      <c r="BR655" t="s">
        <v>107</v>
      </c>
      <c r="BS655" t="s">
        <v>8996</v>
      </c>
      <c r="BT655" t="str">
        <f>HYPERLINK("https%3A%2F%2Fwww.webofscience.com%2Fwos%2Fwoscc%2Ffull-record%2FWOS:000180725900006","View Full Record in Web of Science")</f>
        <v>View Full Record in Web of Science</v>
      </c>
    </row>
    <row r="656" spans="1:72" x14ac:dyDescent="0.15">
      <c r="A656" t="s">
        <v>6989</v>
      </c>
      <c r="B656" t="s">
        <v>8997</v>
      </c>
      <c r="C656" t="s">
        <v>74</v>
      </c>
      <c r="D656" t="s">
        <v>8998</v>
      </c>
      <c r="E656" t="s">
        <v>74</v>
      </c>
      <c r="F656" t="s">
        <v>8997</v>
      </c>
      <c r="G656" t="s">
        <v>74</v>
      </c>
      <c r="H656" t="s">
        <v>74</v>
      </c>
      <c r="I656" t="s">
        <v>8999</v>
      </c>
      <c r="J656" t="s">
        <v>9000</v>
      </c>
      <c r="K656" t="s">
        <v>9001</v>
      </c>
      <c r="L656" t="s">
        <v>74</v>
      </c>
      <c r="M656" t="s">
        <v>77</v>
      </c>
      <c r="N656" t="s">
        <v>6994</v>
      </c>
      <c r="O656" t="s">
        <v>9002</v>
      </c>
      <c r="P656" t="s">
        <v>9003</v>
      </c>
      <c r="Q656" t="s">
        <v>9004</v>
      </c>
      <c r="R656" t="s">
        <v>74</v>
      </c>
      <c r="S656" t="s">
        <v>74</v>
      </c>
      <c r="T656" t="s">
        <v>74</v>
      </c>
      <c r="U656" t="s">
        <v>9005</v>
      </c>
      <c r="V656" t="s">
        <v>9006</v>
      </c>
      <c r="W656" t="s">
        <v>9007</v>
      </c>
      <c r="X656" t="s">
        <v>74</v>
      </c>
      <c r="Y656" t="s">
        <v>9008</v>
      </c>
      <c r="Z656" t="s">
        <v>74</v>
      </c>
      <c r="AA656" t="s">
        <v>74</v>
      </c>
      <c r="AB656" t="s">
        <v>9009</v>
      </c>
      <c r="AC656" t="s">
        <v>74</v>
      </c>
      <c r="AD656" t="s">
        <v>74</v>
      </c>
      <c r="AE656" t="s">
        <v>74</v>
      </c>
      <c r="AF656" t="s">
        <v>74</v>
      </c>
      <c r="AG656">
        <v>14</v>
      </c>
      <c r="AH656">
        <v>0</v>
      </c>
      <c r="AI656">
        <v>0</v>
      </c>
      <c r="AJ656">
        <v>0</v>
      </c>
      <c r="AK656">
        <v>1</v>
      </c>
      <c r="AL656" t="s">
        <v>9010</v>
      </c>
      <c r="AM656" t="s">
        <v>9011</v>
      </c>
      <c r="AN656" t="s">
        <v>9012</v>
      </c>
      <c r="AO656" t="s">
        <v>9013</v>
      </c>
      <c r="AP656" t="s">
        <v>74</v>
      </c>
      <c r="AQ656" t="s">
        <v>9014</v>
      </c>
      <c r="AR656" t="s">
        <v>9015</v>
      </c>
      <c r="AS656" t="s">
        <v>74</v>
      </c>
      <c r="AT656" t="s">
        <v>74</v>
      </c>
      <c r="AU656">
        <v>2002</v>
      </c>
      <c r="AV656">
        <v>4814</v>
      </c>
      <c r="AW656" t="s">
        <v>74</v>
      </c>
      <c r="AX656" t="s">
        <v>74</v>
      </c>
      <c r="AY656" t="s">
        <v>74</v>
      </c>
      <c r="AZ656" t="s">
        <v>74</v>
      </c>
      <c r="BA656" t="s">
        <v>74</v>
      </c>
      <c r="BB656">
        <v>230</v>
      </c>
      <c r="BC656">
        <v>242</v>
      </c>
      <c r="BD656" t="s">
        <v>74</v>
      </c>
      <c r="BE656" t="s">
        <v>9016</v>
      </c>
      <c r="BF656" t="str">
        <f>HYPERLINK("http://dx.doi.org/10.1117/12.456696","http://dx.doi.org/10.1117/12.456696")</f>
        <v>http://dx.doi.org/10.1117/12.456696</v>
      </c>
      <c r="BG656" t="s">
        <v>74</v>
      </c>
      <c r="BH656" t="s">
        <v>74</v>
      </c>
      <c r="BI656">
        <v>13</v>
      </c>
      <c r="BJ656" t="s">
        <v>9017</v>
      </c>
      <c r="BK656" t="s">
        <v>7004</v>
      </c>
      <c r="BL656" t="s">
        <v>9018</v>
      </c>
      <c r="BM656" t="s">
        <v>9019</v>
      </c>
      <c r="BN656" t="s">
        <v>74</v>
      </c>
      <c r="BO656" t="s">
        <v>74</v>
      </c>
      <c r="BP656" t="s">
        <v>74</v>
      </c>
      <c r="BQ656" t="s">
        <v>74</v>
      </c>
      <c r="BR656" t="s">
        <v>107</v>
      </c>
      <c r="BS656" t="s">
        <v>9020</v>
      </c>
      <c r="BT656" t="str">
        <f>HYPERLINK("https%3A%2F%2Fwww.webofscience.com%2Fwos%2Fwoscc%2Ffull-record%2FWOS:000179201500025","View Full Record in Web of Science")</f>
        <v>View Full Record in Web of Science</v>
      </c>
    </row>
    <row r="657" spans="1:72" x14ac:dyDescent="0.15">
      <c r="A657" t="s">
        <v>72</v>
      </c>
      <c r="B657" t="s">
        <v>9021</v>
      </c>
      <c r="C657" t="s">
        <v>74</v>
      </c>
      <c r="D657" t="s">
        <v>74</v>
      </c>
      <c r="E657" t="s">
        <v>74</v>
      </c>
      <c r="F657" t="s">
        <v>9021</v>
      </c>
      <c r="G657" t="s">
        <v>74</v>
      </c>
      <c r="H657" t="s">
        <v>74</v>
      </c>
      <c r="I657" t="s">
        <v>9022</v>
      </c>
      <c r="J657" t="s">
        <v>9023</v>
      </c>
      <c r="K657" t="s">
        <v>74</v>
      </c>
      <c r="L657" t="s">
        <v>74</v>
      </c>
      <c r="M657" t="s">
        <v>77</v>
      </c>
      <c r="N657" t="s">
        <v>153</v>
      </c>
      <c r="O657" t="s">
        <v>74</v>
      </c>
      <c r="P657" t="s">
        <v>74</v>
      </c>
      <c r="Q657" t="s">
        <v>74</v>
      </c>
      <c r="R657" t="s">
        <v>74</v>
      </c>
      <c r="S657" t="s">
        <v>74</v>
      </c>
      <c r="T657" t="s">
        <v>74</v>
      </c>
      <c r="U657" t="s">
        <v>9024</v>
      </c>
      <c r="V657" t="s">
        <v>9025</v>
      </c>
      <c r="W657" t="s">
        <v>9026</v>
      </c>
      <c r="X657" t="s">
        <v>9027</v>
      </c>
      <c r="Y657" t="s">
        <v>9028</v>
      </c>
      <c r="Z657" t="s">
        <v>74</v>
      </c>
      <c r="AA657" t="s">
        <v>9029</v>
      </c>
      <c r="AB657" t="s">
        <v>9030</v>
      </c>
      <c r="AC657" t="s">
        <v>74</v>
      </c>
      <c r="AD657" t="s">
        <v>74</v>
      </c>
      <c r="AE657" t="s">
        <v>74</v>
      </c>
      <c r="AF657" t="s">
        <v>74</v>
      </c>
      <c r="AG657">
        <v>15</v>
      </c>
      <c r="AH657">
        <v>5</v>
      </c>
      <c r="AI657">
        <v>5</v>
      </c>
      <c r="AJ657">
        <v>0</v>
      </c>
      <c r="AK657">
        <v>2</v>
      </c>
      <c r="AL657" t="s">
        <v>1626</v>
      </c>
      <c r="AM657" t="s">
        <v>1287</v>
      </c>
      <c r="AN657" t="s">
        <v>1627</v>
      </c>
      <c r="AO657" t="s">
        <v>9031</v>
      </c>
      <c r="AP657" t="s">
        <v>74</v>
      </c>
      <c r="AQ657" t="s">
        <v>74</v>
      </c>
      <c r="AR657" t="s">
        <v>9032</v>
      </c>
      <c r="AS657" t="s">
        <v>9033</v>
      </c>
      <c r="AT657" t="s">
        <v>74</v>
      </c>
      <c r="AU657">
        <v>2002</v>
      </c>
      <c r="AV657">
        <v>54</v>
      </c>
      <c r="AW657">
        <v>10</v>
      </c>
      <c r="AX657" t="s">
        <v>74</v>
      </c>
      <c r="AY657" t="s">
        <v>74</v>
      </c>
      <c r="AZ657" t="s">
        <v>74</v>
      </c>
      <c r="BA657" t="s">
        <v>74</v>
      </c>
      <c r="BB657">
        <v>955</v>
      </c>
      <c r="BC657">
        <v>961</v>
      </c>
      <c r="BD657" t="s">
        <v>74</v>
      </c>
      <c r="BE657" t="s">
        <v>9034</v>
      </c>
      <c r="BF657" t="str">
        <f>HYPERLINK("http://dx.doi.org/10.1186/BF03352443","http://dx.doi.org/10.1186/BF03352443")</f>
        <v>http://dx.doi.org/10.1186/BF03352443</v>
      </c>
      <c r="BG657" t="s">
        <v>74</v>
      </c>
      <c r="BH657" t="s">
        <v>74</v>
      </c>
      <c r="BI657">
        <v>7</v>
      </c>
      <c r="BJ657" t="s">
        <v>608</v>
      </c>
      <c r="BK657" t="s">
        <v>170</v>
      </c>
      <c r="BL657" t="s">
        <v>439</v>
      </c>
      <c r="BM657" t="s">
        <v>9035</v>
      </c>
      <c r="BN657" t="s">
        <v>74</v>
      </c>
      <c r="BO657" t="s">
        <v>9036</v>
      </c>
      <c r="BP657" t="s">
        <v>74</v>
      </c>
      <c r="BQ657" t="s">
        <v>74</v>
      </c>
      <c r="BR657" t="s">
        <v>107</v>
      </c>
      <c r="BS657" t="s">
        <v>9037</v>
      </c>
      <c r="BT657" t="str">
        <f>HYPERLINK("https%3A%2F%2Fwww.webofscience.com%2Fwos%2Fwoscc%2Ffull-record%2FWOS:000179546400003","View Full Record in Web of Science")</f>
        <v>View Full Record in Web of Science</v>
      </c>
    </row>
    <row r="658" spans="1:72" x14ac:dyDescent="0.15">
      <c r="A658" t="s">
        <v>1051</v>
      </c>
      <c r="B658" t="s">
        <v>9038</v>
      </c>
      <c r="C658" t="s">
        <v>74</v>
      </c>
      <c r="D658" t="s">
        <v>9039</v>
      </c>
      <c r="E658" t="s">
        <v>74</v>
      </c>
      <c r="F658" t="s">
        <v>9038</v>
      </c>
      <c r="G658" t="s">
        <v>74</v>
      </c>
      <c r="H658" t="s">
        <v>74</v>
      </c>
      <c r="I658" t="s">
        <v>9040</v>
      </c>
      <c r="J658" t="s">
        <v>9041</v>
      </c>
      <c r="K658" t="s">
        <v>7052</v>
      </c>
      <c r="L658" t="s">
        <v>74</v>
      </c>
      <c r="M658" t="s">
        <v>77</v>
      </c>
      <c r="N658" t="s">
        <v>947</v>
      </c>
      <c r="O658" t="s">
        <v>9042</v>
      </c>
      <c r="P658" t="s">
        <v>7054</v>
      </c>
      <c r="Q658" t="s">
        <v>7055</v>
      </c>
      <c r="R658" t="s">
        <v>74</v>
      </c>
      <c r="S658" t="s">
        <v>74</v>
      </c>
      <c r="T658" t="s">
        <v>74</v>
      </c>
      <c r="U658" t="s">
        <v>9043</v>
      </c>
      <c r="V658" t="s">
        <v>9044</v>
      </c>
      <c r="W658" t="s">
        <v>9045</v>
      </c>
      <c r="X658" t="s">
        <v>9046</v>
      </c>
      <c r="Y658" t="s">
        <v>9047</v>
      </c>
      <c r="Z658" t="s">
        <v>74</v>
      </c>
      <c r="AA658" t="s">
        <v>74</v>
      </c>
      <c r="AB658" t="s">
        <v>74</v>
      </c>
      <c r="AC658" t="s">
        <v>74</v>
      </c>
      <c r="AD658" t="s">
        <v>74</v>
      </c>
      <c r="AE658" t="s">
        <v>74</v>
      </c>
      <c r="AF658" t="s">
        <v>74</v>
      </c>
      <c r="AG658">
        <v>12</v>
      </c>
      <c r="AH658">
        <v>4</v>
      </c>
      <c r="AI658">
        <v>4</v>
      </c>
      <c r="AJ658">
        <v>1</v>
      </c>
      <c r="AK658">
        <v>1</v>
      </c>
      <c r="AL658" t="s">
        <v>1013</v>
      </c>
      <c r="AM658" t="s">
        <v>7060</v>
      </c>
      <c r="AN658" t="s">
        <v>7061</v>
      </c>
      <c r="AO658" t="s">
        <v>7062</v>
      </c>
      <c r="AP658" t="s">
        <v>74</v>
      </c>
      <c r="AQ658" t="s">
        <v>74</v>
      </c>
      <c r="AR658" t="s">
        <v>7063</v>
      </c>
      <c r="AS658" t="s">
        <v>74</v>
      </c>
      <c r="AT658" t="s">
        <v>74</v>
      </c>
      <c r="AU658">
        <v>2002</v>
      </c>
      <c r="AV658">
        <v>30</v>
      </c>
      <c r="AW658">
        <v>11</v>
      </c>
      <c r="AX658" t="s">
        <v>74</v>
      </c>
      <c r="AY658" t="s">
        <v>74</v>
      </c>
      <c r="AZ658" t="s">
        <v>74</v>
      </c>
      <c r="BA658" t="s">
        <v>74</v>
      </c>
      <c r="BB658">
        <v>2551</v>
      </c>
      <c r="BC658">
        <v>2556</v>
      </c>
      <c r="BD658" t="s">
        <v>9048</v>
      </c>
      <c r="BE658" t="s">
        <v>9049</v>
      </c>
      <c r="BF658" t="str">
        <f>HYPERLINK("http://dx.doi.org/10.1016/S0273-1177(02)80338-6","http://dx.doi.org/10.1016/S0273-1177(02)80338-6")</f>
        <v>http://dx.doi.org/10.1016/S0273-1177(02)80338-6</v>
      </c>
      <c r="BG658" t="s">
        <v>74</v>
      </c>
      <c r="BH658" t="s">
        <v>74</v>
      </c>
      <c r="BI658">
        <v>6</v>
      </c>
      <c r="BJ658" t="s">
        <v>7066</v>
      </c>
      <c r="BK658" t="s">
        <v>744</v>
      </c>
      <c r="BL658" t="s">
        <v>7067</v>
      </c>
      <c r="BM658" t="s">
        <v>9050</v>
      </c>
      <c r="BN658" t="s">
        <v>74</v>
      </c>
      <c r="BO658" t="s">
        <v>74</v>
      </c>
      <c r="BP658" t="s">
        <v>74</v>
      </c>
      <c r="BQ658" t="s">
        <v>74</v>
      </c>
      <c r="BR658" t="s">
        <v>107</v>
      </c>
      <c r="BS658" t="s">
        <v>9051</v>
      </c>
      <c r="BT658" t="str">
        <f>HYPERLINK("https%3A%2F%2Fwww.webofscience.com%2Fwos%2Fwoscc%2Ffull-record%2FWOS:000180656600030","View Full Record in Web of Science")</f>
        <v>View Full Record in Web of Science</v>
      </c>
    </row>
    <row r="659" spans="1:72" x14ac:dyDescent="0.15">
      <c r="A659" t="s">
        <v>6989</v>
      </c>
      <c r="B659" t="s">
        <v>9052</v>
      </c>
      <c r="C659" t="s">
        <v>74</v>
      </c>
      <c r="D659" t="s">
        <v>9053</v>
      </c>
      <c r="E659" t="s">
        <v>74</v>
      </c>
      <c r="F659" t="s">
        <v>9052</v>
      </c>
      <c r="G659" t="s">
        <v>74</v>
      </c>
      <c r="H659" t="s">
        <v>74</v>
      </c>
      <c r="I659" t="s">
        <v>9054</v>
      </c>
      <c r="J659" t="s">
        <v>9055</v>
      </c>
      <c r="K659" t="s">
        <v>9001</v>
      </c>
      <c r="L659" t="s">
        <v>74</v>
      </c>
      <c r="M659" t="s">
        <v>77</v>
      </c>
      <c r="N659" t="s">
        <v>6994</v>
      </c>
      <c r="O659" t="s">
        <v>9056</v>
      </c>
      <c r="P659" t="s">
        <v>9057</v>
      </c>
      <c r="Q659" t="s">
        <v>9058</v>
      </c>
      <c r="R659" t="s">
        <v>74</v>
      </c>
      <c r="S659" t="s">
        <v>74</v>
      </c>
      <c r="T659" t="s">
        <v>9059</v>
      </c>
      <c r="U659" t="s">
        <v>74</v>
      </c>
      <c r="V659" t="s">
        <v>9060</v>
      </c>
      <c r="W659" t="s">
        <v>9061</v>
      </c>
      <c r="X659" t="s">
        <v>9062</v>
      </c>
      <c r="Y659" t="s">
        <v>9063</v>
      </c>
      <c r="Z659" t="s">
        <v>74</v>
      </c>
      <c r="AA659" t="s">
        <v>74</v>
      </c>
      <c r="AB659" t="s">
        <v>74</v>
      </c>
      <c r="AC659" t="s">
        <v>74</v>
      </c>
      <c r="AD659" t="s">
        <v>74</v>
      </c>
      <c r="AE659" t="s">
        <v>74</v>
      </c>
      <c r="AF659" t="s">
        <v>74</v>
      </c>
      <c r="AG659">
        <v>21</v>
      </c>
      <c r="AH659">
        <v>1</v>
      </c>
      <c r="AI659">
        <v>1</v>
      </c>
      <c r="AJ659">
        <v>0</v>
      </c>
      <c r="AK659">
        <v>1</v>
      </c>
      <c r="AL659" t="s">
        <v>9010</v>
      </c>
      <c r="AM659" t="s">
        <v>9011</v>
      </c>
      <c r="AN659" t="s">
        <v>9012</v>
      </c>
      <c r="AO659" t="s">
        <v>9013</v>
      </c>
      <c r="AP659" t="s">
        <v>74</v>
      </c>
      <c r="AQ659" t="s">
        <v>9064</v>
      </c>
      <c r="AR659" t="s">
        <v>9015</v>
      </c>
      <c r="AS659" t="s">
        <v>74</v>
      </c>
      <c r="AT659" t="s">
        <v>74</v>
      </c>
      <c r="AU659">
        <v>2002</v>
      </c>
      <c r="AV659">
        <v>4678</v>
      </c>
      <c r="AW659" t="s">
        <v>74</v>
      </c>
      <c r="AX659" t="s">
        <v>74</v>
      </c>
      <c r="AY659" t="s">
        <v>74</v>
      </c>
      <c r="AZ659" t="s">
        <v>74</v>
      </c>
      <c r="BA659" t="s">
        <v>74</v>
      </c>
      <c r="BB659">
        <v>630</v>
      </c>
      <c r="BC659">
        <v>641</v>
      </c>
      <c r="BD659" t="s">
        <v>74</v>
      </c>
      <c r="BE659" t="s">
        <v>9065</v>
      </c>
      <c r="BF659" t="str">
        <f>HYPERLINK("http://dx.doi.org/10.1117/12.458503","http://dx.doi.org/10.1117/12.458503")</f>
        <v>http://dx.doi.org/10.1117/12.458503</v>
      </c>
      <c r="BG659" t="s">
        <v>74</v>
      </c>
      <c r="BH659" t="s">
        <v>74</v>
      </c>
      <c r="BI659">
        <v>12</v>
      </c>
      <c r="BJ659" t="s">
        <v>9066</v>
      </c>
      <c r="BK659" t="s">
        <v>7004</v>
      </c>
      <c r="BL659" t="s">
        <v>9066</v>
      </c>
      <c r="BM659" t="s">
        <v>9067</v>
      </c>
      <c r="BN659" t="s">
        <v>74</v>
      </c>
      <c r="BO659" t="s">
        <v>74</v>
      </c>
      <c r="BP659" t="s">
        <v>74</v>
      </c>
      <c r="BQ659" t="s">
        <v>74</v>
      </c>
      <c r="BR659" t="s">
        <v>107</v>
      </c>
      <c r="BS659" t="s">
        <v>9068</v>
      </c>
      <c r="BT659" t="str">
        <f>HYPERLINK("https%3A%2F%2Fwww.webofscience.com%2Fwos%2Fwoscc%2Ffull-record%2FWOS:000176001100082","View Full Record in Web of Science")</f>
        <v>View Full Record in Web of Science</v>
      </c>
    </row>
    <row r="660" spans="1:72" x14ac:dyDescent="0.15">
      <c r="A660" t="s">
        <v>72</v>
      </c>
      <c r="B660" t="s">
        <v>9069</v>
      </c>
      <c r="C660" t="s">
        <v>74</v>
      </c>
      <c r="D660" t="s">
        <v>74</v>
      </c>
      <c r="E660" t="s">
        <v>74</v>
      </c>
      <c r="F660" t="s">
        <v>9069</v>
      </c>
      <c r="G660" t="s">
        <v>74</v>
      </c>
      <c r="H660" t="s">
        <v>74</v>
      </c>
      <c r="I660" t="s">
        <v>9070</v>
      </c>
      <c r="J660" t="s">
        <v>9071</v>
      </c>
      <c r="K660" t="s">
        <v>74</v>
      </c>
      <c r="L660" t="s">
        <v>74</v>
      </c>
      <c r="M660" t="s">
        <v>77</v>
      </c>
      <c r="N660" t="s">
        <v>153</v>
      </c>
      <c r="O660" t="s">
        <v>74</v>
      </c>
      <c r="P660" t="s">
        <v>74</v>
      </c>
      <c r="Q660" t="s">
        <v>74</v>
      </c>
      <c r="R660" t="s">
        <v>74</v>
      </c>
      <c r="S660" t="s">
        <v>74</v>
      </c>
      <c r="T660" t="s">
        <v>9072</v>
      </c>
      <c r="U660" t="s">
        <v>9073</v>
      </c>
      <c r="V660" t="s">
        <v>9074</v>
      </c>
      <c r="W660" t="s">
        <v>9075</v>
      </c>
      <c r="X660" t="s">
        <v>9076</v>
      </c>
      <c r="Y660" t="s">
        <v>9077</v>
      </c>
      <c r="Z660" t="s">
        <v>9078</v>
      </c>
      <c r="AA660" t="s">
        <v>9079</v>
      </c>
      <c r="AB660" t="s">
        <v>9080</v>
      </c>
      <c r="AC660" t="s">
        <v>74</v>
      </c>
      <c r="AD660" t="s">
        <v>74</v>
      </c>
      <c r="AE660" t="s">
        <v>74</v>
      </c>
      <c r="AF660" t="s">
        <v>74</v>
      </c>
      <c r="AG660">
        <v>35</v>
      </c>
      <c r="AH660">
        <v>59</v>
      </c>
      <c r="AI660">
        <v>70</v>
      </c>
      <c r="AJ660">
        <v>1</v>
      </c>
      <c r="AK660">
        <v>23</v>
      </c>
      <c r="AL660" t="s">
        <v>894</v>
      </c>
      <c r="AM660" t="s">
        <v>895</v>
      </c>
      <c r="AN660" t="s">
        <v>896</v>
      </c>
      <c r="AO660" t="s">
        <v>9081</v>
      </c>
      <c r="AP660" t="s">
        <v>9082</v>
      </c>
      <c r="AQ660" t="s">
        <v>74</v>
      </c>
      <c r="AR660" t="s">
        <v>9083</v>
      </c>
      <c r="AS660" t="s">
        <v>9084</v>
      </c>
      <c r="AT660" t="s">
        <v>74</v>
      </c>
      <c r="AU660">
        <v>2002</v>
      </c>
      <c r="AV660">
        <v>119</v>
      </c>
      <c r="AW660">
        <v>2</v>
      </c>
      <c r="AX660" t="s">
        <v>74</v>
      </c>
      <c r="AY660" t="s">
        <v>74</v>
      </c>
      <c r="AZ660" t="s">
        <v>74</v>
      </c>
      <c r="BA660" t="s">
        <v>74</v>
      </c>
      <c r="BB660">
        <v>151</v>
      </c>
      <c r="BC660">
        <v>161</v>
      </c>
      <c r="BD660" t="s">
        <v>9085</v>
      </c>
      <c r="BE660" t="s">
        <v>9086</v>
      </c>
      <c r="BF660" t="str">
        <f>HYPERLINK("http://dx.doi.org/10.1016/S0269-7491(01)00332-3","http://dx.doi.org/10.1016/S0269-7491(01)00332-3")</f>
        <v>http://dx.doi.org/10.1016/S0269-7491(01)00332-3</v>
      </c>
      <c r="BG660" t="s">
        <v>74</v>
      </c>
      <c r="BH660" t="s">
        <v>74</v>
      </c>
      <c r="BI660">
        <v>11</v>
      </c>
      <c r="BJ660" t="s">
        <v>1019</v>
      </c>
      <c r="BK660" t="s">
        <v>170</v>
      </c>
      <c r="BL660" t="s">
        <v>1020</v>
      </c>
      <c r="BM660" t="s">
        <v>9087</v>
      </c>
      <c r="BN660">
        <v>12152823</v>
      </c>
      <c r="BO660" t="s">
        <v>74</v>
      </c>
      <c r="BP660" t="s">
        <v>74</v>
      </c>
      <c r="BQ660" t="s">
        <v>74</v>
      </c>
      <c r="BR660" t="s">
        <v>107</v>
      </c>
      <c r="BS660" t="s">
        <v>9088</v>
      </c>
      <c r="BT660" t="str">
        <f>HYPERLINK("https%3A%2F%2Fwww.webofscience.com%2Fwos%2Fwoscc%2Ffull-record%2FWOS:000176023900002","View Full Record in Web of Science")</f>
        <v>View Full Record in Web of Science</v>
      </c>
    </row>
    <row r="661" spans="1:72" x14ac:dyDescent="0.15">
      <c r="A661" t="s">
        <v>72</v>
      </c>
      <c r="B661" t="s">
        <v>9089</v>
      </c>
      <c r="C661" t="s">
        <v>74</v>
      </c>
      <c r="D661" t="s">
        <v>74</v>
      </c>
      <c r="E661" t="s">
        <v>74</v>
      </c>
      <c r="F661" t="s">
        <v>9089</v>
      </c>
      <c r="G661" t="s">
        <v>74</v>
      </c>
      <c r="H661" t="s">
        <v>74</v>
      </c>
      <c r="I661" t="s">
        <v>9090</v>
      </c>
      <c r="J661" t="s">
        <v>9091</v>
      </c>
      <c r="K661" t="s">
        <v>74</v>
      </c>
      <c r="L661" t="s">
        <v>74</v>
      </c>
      <c r="M661" t="s">
        <v>77</v>
      </c>
      <c r="N661" t="s">
        <v>153</v>
      </c>
      <c r="O661" t="s">
        <v>74</v>
      </c>
      <c r="P661" t="s">
        <v>74</v>
      </c>
      <c r="Q661" t="s">
        <v>74</v>
      </c>
      <c r="R661" t="s">
        <v>74</v>
      </c>
      <c r="S661" t="s">
        <v>74</v>
      </c>
      <c r="T661" t="s">
        <v>74</v>
      </c>
      <c r="U661" t="s">
        <v>9092</v>
      </c>
      <c r="V661" t="s">
        <v>9093</v>
      </c>
      <c r="W661" t="s">
        <v>9094</v>
      </c>
      <c r="X661" t="s">
        <v>9095</v>
      </c>
      <c r="Y661" t="s">
        <v>9096</v>
      </c>
      <c r="Z661" t="s">
        <v>74</v>
      </c>
      <c r="AA661" t="s">
        <v>9097</v>
      </c>
      <c r="AB661" t="s">
        <v>9098</v>
      </c>
      <c r="AC661" t="s">
        <v>74</v>
      </c>
      <c r="AD661" t="s">
        <v>74</v>
      </c>
      <c r="AE661" t="s">
        <v>74</v>
      </c>
      <c r="AF661" t="s">
        <v>74</v>
      </c>
      <c r="AG661">
        <v>9</v>
      </c>
      <c r="AH661">
        <v>227</v>
      </c>
      <c r="AI661">
        <v>236</v>
      </c>
      <c r="AJ661">
        <v>3</v>
      </c>
      <c r="AK661">
        <v>28</v>
      </c>
      <c r="AL661" t="s">
        <v>9099</v>
      </c>
      <c r="AM661" t="s">
        <v>9100</v>
      </c>
      <c r="AN661" t="s">
        <v>9101</v>
      </c>
      <c r="AO661" t="s">
        <v>9102</v>
      </c>
      <c r="AP661" t="s">
        <v>74</v>
      </c>
      <c r="AQ661" t="s">
        <v>74</v>
      </c>
      <c r="AR661" t="s">
        <v>9103</v>
      </c>
      <c r="AS661" t="s">
        <v>9104</v>
      </c>
      <c r="AT661" t="s">
        <v>74</v>
      </c>
      <c r="AU661">
        <v>2002</v>
      </c>
      <c r="AV661">
        <v>9</v>
      </c>
      <c r="AW661">
        <v>6</v>
      </c>
      <c r="AX661" t="s">
        <v>74</v>
      </c>
      <c r="AY661" t="s">
        <v>74</v>
      </c>
      <c r="AZ661" t="s">
        <v>74</v>
      </c>
      <c r="BA661" t="s">
        <v>74</v>
      </c>
      <c r="BB661">
        <v>375</v>
      </c>
      <c r="BC661">
        <v>376</v>
      </c>
      <c r="BD661" t="s">
        <v>74</v>
      </c>
      <c r="BE661" t="s">
        <v>9105</v>
      </c>
      <c r="BF661" t="str">
        <f>HYPERLINK("http://dx.doi.org/10.1007/BF02987584","http://dx.doi.org/10.1007/BF02987584")</f>
        <v>http://dx.doi.org/10.1007/BF02987584</v>
      </c>
      <c r="BG661" t="s">
        <v>74</v>
      </c>
      <c r="BH661" t="s">
        <v>74</v>
      </c>
      <c r="BI661">
        <v>2</v>
      </c>
      <c r="BJ661" t="s">
        <v>1019</v>
      </c>
      <c r="BK661" t="s">
        <v>170</v>
      </c>
      <c r="BL661" t="s">
        <v>1020</v>
      </c>
      <c r="BM661" t="s">
        <v>9106</v>
      </c>
      <c r="BN661">
        <v>12515343</v>
      </c>
      <c r="BO661" t="s">
        <v>74</v>
      </c>
      <c r="BP661" t="s">
        <v>74</v>
      </c>
      <c r="BQ661" t="s">
        <v>74</v>
      </c>
      <c r="BR661" t="s">
        <v>107</v>
      </c>
      <c r="BS661" t="s">
        <v>9107</v>
      </c>
      <c r="BT661" t="str">
        <f>HYPERLINK("https%3A%2F%2Fwww.webofscience.com%2Fwos%2Fwoscc%2Ffull-record%2FWOS:000179435400003","View Full Record in Web of Science")</f>
        <v>View Full Record in Web of Science</v>
      </c>
    </row>
    <row r="662" spans="1:72" x14ac:dyDescent="0.15">
      <c r="A662" t="s">
        <v>72</v>
      </c>
      <c r="B662" t="s">
        <v>9108</v>
      </c>
      <c r="C662" t="s">
        <v>74</v>
      </c>
      <c r="D662" t="s">
        <v>74</v>
      </c>
      <c r="E662" t="s">
        <v>74</v>
      </c>
      <c r="F662" t="s">
        <v>9108</v>
      </c>
      <c r="G662" t="s">
        <v>74</v>
      </c>
      <c r="H662" t="s">
        <v>74</v>
      </c>
      <c r="I662" t="s">
        <v>9109</v>
      </c>
      <c r="J662" t="s">
        <v>4774</v>
      </c>
      <c r="K662" t="s">
        <v>74</v>
      </c>
      <c r="L662" t="s">
        <v>74</v>
      </c>
      <c r="M662" t="s">
        <v>77</v>
      </c>
      <c r="N662" t="s">
        <v>153</v>
      </c>
      <c r="O662" t="s">
        <v>74</v>
      </c>
      <c r="P662" t="s">
        <v>74</v>
      </c>
      <c r="Q662" t="s">
        <v>74</v>
      </c>
      <c r="R662" t="s">
        <v>74</v>
      </c>
      <c r="S662" t="s">
        <v>74</v>
      </c>
      <c r="T662" t="s">
        <v>74</v>
      </c>
      <c r="U662" t="s">
        <v>9110</v>
      </c>
      <c r="V662" t="s">
        <v>9111</v>
      </c>
      <c r="W662" t="s">
        <v>9112</v>
      </c>
      <c r="X662" t="s">
        <v>9113</v>
      </c>
      <c r="Y662" t="s">
        <v>9114</v>
      </c>
      <c r="Z662" t="s">
        <v>74</v>
      </c>
      <c r="AA662" t="s">
        <v>9115</v>
      </c>
      <c r="AB662" t="s">
        <v>9116</v>
      </c>
      <c r="AC662" t="s">
        <v>74</v>
      </c>
      <c r="AD662" t="s">
        <v>74</v>
      </c>
      <c r="AE662" t="s">
        <v>74</v>
      </c>
      <c r="AF662" t="s">
        <v>74</v>
      </c>
      <c r="AG662">
        <v>23</v>
      </c>
      <c r="AH662">
        <v>154</v>
      </c>
      <c r="AI662">
        <v>172</v>
      </c>
      <c r="AJ662">
        <v>2</v>
      </c>
      <c r="AK662">
        <v>36</v>
      </c>
      <c r="AL662" t="s">
        <v>581</v>
      </c>
      <c r="AM662" t="s">
        <v>162</v>
      </c>
      <c r="AN662" t="s">
        <v>582</v>
      </c>
      <c r="AO662" t="s">
        <v>4782</v>
      </c>
      <c r="AP662" t="s">
        <v>74</v>
      </c>
      <c r="AQ662" t="s">
        <v>74</v>
      </c>
      <c r="AR662" t="s">
        <v>4783</v>
      </c>
      <c r="AS662" t="s">
        <v>4784</v>
      </c>
      <c r="AT662" t="s">
        <v>9117</v>
      </c>
      <c r="AU662">
        <v>2002</v>
      </c>
      <c r="AV662">
        <v>36</v>
      </c>
      <c r="AW662">
        <v>1</v>
      </c>
      <c r="AX662" t="s">
        <v>74</v>
      </c>
      <c r="AY662" t="s">
        <v>74</v>
      </c>
      <c r="AZ662" t="s">
        <v>74</v>
      </c>
      <c r="BA662" t="s">
        <v>74</v>
      </c>
      <c r="BB662">
        <v>7</v>
      </c>
      <c r="BC662">
        <v>11</v>
      </c>
      <c r="BD662" t="s">
        <v>74</v>
      </c>
      <c r="BE662" t="s">
        <v>9118</v>
      </c>
      <c r="BF662" t="str">
        <f>HYPERLINK("http://dx.doi.org/10.1021/es011088z","http://dx.doi.org/10.1021/es011088z")</f>
        <v>http://dx.doi.org/10.1021/es011088z</v>
      </c>
      <c r="BG662" t="s">
        <v>74</v>
      </c>
      <c r="BH662" t="s">
        <v>74</v>
      </c>
      <c r="BI662">
        <v>5</v>
      </c>
      <c r="BJ662" t="s">
        <v>4786</v>
      </c>
      <c r="BK662" t="s">
        <v>170</v>
      </c>
      <c r="BL662" t="s">
        <v>4787</v>
      </c>
      <c r="BM662" t="s">
        <v>9119</v>
      </c>
      <c r="BN662">
        <v>11811493</v>
      </c>
      <c r="BO662" t="s">
        <v>74</v>
      </c>
      <c r="BP662" t="s">
        <v>74</v>
      </c>
      <c r="BQ662" t="s">
        <v>74</v>
      </c>
      <c r="BR662" t="s">
        <v>107</v>
      </c>
      <c r="BS662" t="s">
        <v>9120</v>
      </c>
      <c r="BT662" t="str">
        <f>HYPERLINK("https%3A%2F%2Fwww.webofscience.com%2Fwos%2Fwoscc%2Ffull-record%2FWOS:000173162600018","View Full Record in Web of Science")</f>
        <v>View Full Record in Web of Science</v>
      </c>
    </row>
    <row r="663" spans="1:72" x14ac:dyDescent="0.15">
      <c r="A663" t="s">
        <v>72</v>
      </c>
      <c r="B663" t="s">
        <v>9121</v>
      </c>
      <c r="C663" t="s">
        <v>74</v>
      </c>
      <c r="D663" t="s">
        <v>74</v>
      </c>
      <c r="E663" t="s">
        <v>74</v>
      </c>
      <c r="F663" t="s">
        <v>9121</v>
      </c>
      <c r="G663" t="s">
        <v>74</v>
      </c>
      <c r="H663" t="s">
        <v>74</v>
      </c>
      <c r="I663" t="s">
        <v>9122</v>
      </c>
      <c r="J663" t="s">
        <v>9123</v>
      </c>
      <c r="K663" t="s">
        <v>74</v>
      </c>
      <c r="L663" t="s">
        <v>74</v>
      </c>
      <c r="M663" t="s">
        <v>77</v>
      </c>
      <c r="N663" t="s">
        <v>78</v>
      </c>
      <c r="O663" t="s">
        <v>9124</v>
      </c>
      <c r="P663" t="s">
        <v>9125</v>
      </c>
      <c r="Q663" t="s">
        <v>9126</v>
      </c>
      <c r="R663" t="s">
        <v>74</v>
      </c>
      <c r="S663" t="s">
        <v>9127</v>
      </c>
      <c r="T663" t="s">
        <v>9128</v>
      </c>
      <c r="U663" t="s">
        <v>9129</v>
      </c>
      <c r="V663" t="s">
        <v>9130</v>
      </c>
      <c r="W663" t="s">
        <v>9131</v>
      </c>
      <c r="X663" t="s">
        <v>852</v>
      </c>
      <c r="Y663" t="s">
        <v>9132</v>
      </c>
      <c r="Z663" t="s">
        <v>9133</v>
      </c>
      <c r="AA663" t="s">
        <v>74</v>
      </c>
      <c r="AB663" t="s">
        <v>74</v>
      </c>
      <c r="AC663" t="s">
        <v>74</v>
      </c>
      <c r="AD663" t="s">
        <v>74</v>
      </c>
      <c r="AE663" t="s">
        <v>74</v>
      </c>
      <c r="AF663" t="s">
        <v>74</v>
      </c>
      <c r="AG663">
        <v>22</v>
      </c>
      <c r="AH663">
        <v>24</v>
      </c>
      <c r="AI663">
        <v>28</v>
      </c>
      <c r="AJ663">
        <v>0</v>
      </c>
      <c r="AK663">
        <v>23</v>
      </c>
      <c r="AL663" t="s">
        <v>9134</v>
      </c>
      <c r="AM663" t="s">
        <v>9135</v>
      </c>
      <c r="AN663" t="s">
        <v>9136</v>
      </c>
      <c r="AO663" t="s">
        <v>74</v>
      </c>
      <c r="AP663" t="s">
        <v>9137</v>
      </c>
      <c r="AQ663" t="s">
        <v>74</v>
      </c>
      <c r="AR663" t="s">
        <v>9138</v>
      </c>
      <c r="AS663" t="s">
        <v>9139</v>
      </c>
      <c r="AT663" t="s">
        <v>74</v>
      </c>
      <c r="AU663">
        <v>2002</v>
      </c>
      <c r="AV663">
        <v>99</v>
      </c>
      <c r="AW663">
        <v>2</v>
      </c>
      <c r="AX663" t="s">
        <v>74</v>
      </c>
      <c r="AY663" t="s">
        <v>74</v>
      </c>
      <c r="AZ663" t="s">
        <v>74</v>
      </c>
      <c r="BA663" t="s">
        <v>74</v>
      </c>
      <c r="BB663">
        <v>259</v>
      </c>
      <c r="BC663">
        <v>266</v>
      </c>
      <c r="BD663" t="s">
        <v>74</v>
      </c>
      <c r="BE663" t="s">
        <v>9140</v>
      </c>
      <c r="BF663" t="str">
        <f>HYPERLINK("http://dx.doi.org/10.14411/eje.2002.035","http://dx.doi.org/10.14411/eje.2002.035")</f>
        <v>http://dx.doi.org/10.14411/eje.2002.035</v>
      </c>
      <c r="BG663" t="s">
        <v>74</v>
      </c>
      <c r="BH663" t="s">
        <v>74</v>
      </c>
      <c r="BI663">
        <v>8</v>
      </c>
      <c r="BJ663" t="s">
        <v>903</v>
      </c>
      <c r="BK663" t="s">
        <v>103</v>
      </c>
      <c r="BL663" t="s">
        <v>903</v>
      </c>
      <c r="BM663" t="s">
        <v>9141</v>
      </c>
      <c r="BN663" t="s">
        <v>74</v>
      </c>
      <c r="BO663" t="s">
        <v>9142</v>
      </c>
      <c r="BP663" t="s">
        <v>74</v>
      </c>
      <c r="BQ663" t="s">
        <v>74</v>
      </c>
      <c r="BR663" t="s">
        <v>107</v>
      </c>
      <c r="BS663" t="s">
        <v>9143</v>
      </c>
      <c r="BT663" t="str">
        <f>HYPERLINK("https%3A%2F%2Fwww.webofscience.com%2Fwos%2Fwoscc%2Ffull-record%2FWOS:000177174200017","View Full Record in Web of Science")</f>
        <v>View Full Record in Web of Science</v>
      </c>
    </row>
    <row r="664" spans="1:72" x14ac:dyDescent="0.15">
      <c r="A664" t="s">
        <v>72</v>
      </c>
      <c r="B664" t="s">
        <v>9144</v>
      </c>
      <c r="C664" t="s">
        <v>74</v>
      </c>
      <c r="D664" t="s">
        <v>74</v>
      </c>
      <c r="E664" t="s">
        <v>74</v>
      </c>
      <c r="F664" t="s">
        <v>9144</v>
      </c>
      <c r="G664" t="s">
        <v>74</v>
      </c>
      <c r="H664" t="s">
        <v>74</v>
      </c>
      <c r="I664" t="s">
        <v>9145</v>
      </c>
      <c r="J664" t="s">
        <v>9146</v>
      </c>
      <c r="K664" t="s">
        <v>74</v>
      </c>
      <c r="L664" t="s">
        <v>74</v>
      </c>
      <c r="M664" t="s">
        <v>77</v>
      </c>
      <c r="N664" t="s">
        <v>153</v>
      </c>
      <c r="O664" t="s">
        <v>74</v>
      </c>
      <c r="P664" t="s">
        <v>74</v>
      </c>
      <c r="Q664" t="s">
        <v>74</v>
      </c>
      <c r="R664" t="s">
        <v>74</v>
      </c>
      <c r="S664" t="s">
        <v>74</v>
      </c>
      <c r="T664" t="s">
        <v>9147</v>
      </c>
      <c r="U664" t="s">
        <v>9148</v>
      </c>
      <c r="V664" t="s">
        <v>9149</v>
      </c>
      <c r="W664" t="s">
        <v>9150</v>
      </c>
      <c r="X664" t="s">
        <v>9151</v>
      </c>
      <c r="Y664" t="s">
        <v>9152</v>
      </c>
      <c r="Z664" t="s">
        <v>9153</v>
      </c>
      <c r="AA664" t="s">
        <v>9154</v>
      </c>
      <c r="AB664" t="s">
        <v>9155</v>
      </c>
      <c r="AC664" t="s">
        <v>74</v>
      </c>
      <c r="AD664" t="s">
        <v>74</v>
      </c>
      <c r="AE664" t="s">
        <v>74</v>
      </c>
      <c r="AF664" t="s">
        <v>74</v>
      </c>
      <c r="AG664">
        <v>21</v>
      </c>
      <c r="AH664">
        <v>27</v>
      </c>
      <c r="AI664">
        <v>27</v>
      </c>
      <c r="AJ664">
        <v>0</v>
      </c>
      <c r="AK664">
        <v>16</v>
      </c>
      <c r="AL664" t="s">
        <v>1829</v>
      </c>
      <c r="AM664" t="s">
        <v>1779</v>
      </c>
      <c r="AN664" t="s">
        <v>1830</v>
      </c>
      <c r="AO664" t="s">
        <v>9156</v>
      </c>
      <c r="AP664" t="s">
        <v>9157</v>
      </c>
      <c r="AQ664" t="s">
        <v>74</v>
      </c>
      <c r="AR664" t="s">
        <v>9158</v>
      </c>
      <c r="AS664" t="s">
        <v>9159</v>
      </c>
      <c r="AT664" t="s">
        <v>7731</v>
      </c>
      <c r="AU664">
        <v>2002</v>
      </c>
      <c r="AV664">
        <v>14</v>
      </c>
      <c r="AW664">
        <v>1</v>
      </c>
      <c r="AX664" t="s">
        <v>74</v>
      </c>
      <c r="AY664" t="s">
        <v>74</v>
      </c>
      <c r="AZ664" t="s">
        <v>74</v>
      </c>
      <c r="BA664" t="s">
        <v>74</v>
      </c>
      <c r="BB664">
        <v>157</v>
      </c>
      <c r="BC664">
        <v>164</v>
      </c>
      <c r="BD664" t="s">
        <v>74</v>
      </c>
      <c r="BE664" t="s">
        <v>9160</v>
      </c>
      <c r="BF664" t="str">
        <f>HYPERLINK("http://dx.doi.org/10.1127/0935-1221/02/0014-0157","http://dx.doi.org/10.1127/0935-1221/02/0014-0157")</f>
        <v>http://dx.doi.org/10.1127/0935-1221/02/0014-0157</v>
      </c>
      <c r="BG664" t="s">
        <v>74</v>
      </c>
      <c r="BH664" t="s">
        <v>74</v>
      </c>
      <c r="BI664">
        <v>8</v>
      </c>
      <c r="BJ664" t="s">
        <v>9161</v>
      </c>
      <c r="BK664" t="s">
        <v>170</v>
      </c>
      <c r="BL664" t="s">
        <v>9161</v>
      </c>
      <c r="BM664" t="s">
        <v>9162</v>
      </c>
      <c r="BN664" t="s">
        <v>74</v>
      </c>
      <c r="BO664" t="s">
        <v>74</v>
      </c>
      <c r="BP664" t="s">
        <v>74</v>
      </c>
      <c r="BQ664" t="s">
        <v>74</v>
      </c>
      <c r="BR664" t="s">
        <v>107</v>
      </c>
      <c r="BS664" t="s">
        <v>9163</v>
      </c>
      <c r="BT664" t="str">
        <f>HYPERLINK("https%3A%2F%2Fwww.webofscience.com%2Fwos%2Fwoscc%2Ffull-record%2FWOS:000173626600017","View Full Record in Web of Science")</f>
        <v>View Full Record in Web of Science</v>
      </c>
    </row>
    <row r="665" spans="1:72" x14ac:dyDescent="0.15">
      <c r="A665" t="s">
        <v>6989</v>
      </c>
      <c r="B665" t="s">
        <v>9164</v>
      </c>
      <c r="C665" t="s">
        <v>74</v>
      </c>
      <c r="D665" t="s">
        <v>9165</v>
      </c>
      <c r="E665" t="s">
        <v>74</v>
      </c>
      <c r="F665" t="s">
        <v>9164</v>
      </c>
      <c r="G665" t="s">
        <v>74</v>
      </c>
      <c r="H665" t="s">
        <v>74</v>
      </c>
      <c r="I665" t="s">
        <v>9166</v>
      </c>
      <c r="J665" t="s">
        <v>9167</v>
      </c>
      <c r="K665" t="s">
        <v>9168</v>
      </c>
      <c r="L665" t="s">
        <v>74</v>
      </c>
      <c r="M665" t="s">
        <v>77</v>
      </c>
      <c r="N665" t="s">
        <v>6994</v>
      </c>
      <c r="O665" t="s">
        <v>9169</v>
      </c>
      <c r="P665" t="s">
        <v>9170</v>
      </c>
      <c r="Q665" t="s">
        <v>9171</v>
      </c>
      <c r="R665" t="s">
        <v>74</v>
      </c>
      <c r="S665" t="s">
        <v>74</v>
      </c>
      <c r="T665" t="s">
        <v>74</v>
      </c>
      <c r="U665" t="s">
        <v>9172</v>
      </c>
      <c r="V665" t="s">
        <v>9173</v>
      </c>
      <c r="W665" t="s">
        <v>9174</v>
      </c>
      <c r="X665" t="s">
        <v>9175</v>
      </c>
      <c r="Y665" t="s">
        <v>9176</v>
      </c>
      <c r="Z665" t="s">
        <v>74</v>
      </c>
      <c r="AA665" t="s">
        <v>74</v>
      </c>
      <c r="AB665" t="s">
        <v>9177</v>
      </c>
      <c r="AC665" t="s">
        <v>74</v>
      </c>
      <c r="AD665" t="s">
        <v>74</v>
      </c>
      <c r="AE665" t="s">
        <v>74</v>
      </c>
      <c r="AF665" t="s">
        <v>74</v>
      </c>
      <c r="AG665">
        <v>66</v>
      </c>
      <c r="AH665">
        <v>3</v>
      </c>
      <c r="AI665">
        <v>9</v>
      </c>
      <c r="AJ665">
        <v>0</v>
      </c>
      <c r="AK665">
        <v>0</v>
      </c>
      <c r="AL665" t="s">
        <v>4713</v>
      </c>
      <c r="AM665" t="s">
        <v>4714</v>
      </c>
      <c r="AN665" t="s">
        <v>7848</v>
      </c>
      <c r="AO665" t="s">
        <v>7849</v>
      </c>
      <c r="AP665" t="s">
        <v>74</v>
      </c>
      <c r="AQ665" t="s">
        <v>9178</v>
      </c>
      <c r="AR665" t="s">
        <v>7851</v>
      </c>
      <c r="AS665" t="s">
        <v>74</v>
      </c>
      <c r="AT665" t="s">
        <v>74</v>
      </c>
      <c r="AU665">
        <v>2002</v>
      </c>
      <c r="AV665">
        <v>616</v>
      </c>
      <c r="AW665" t="s">
        <v>74</v>
      </c>
      <c r="AX665" t="s">
        <v>74</v>
      </c>
      <c r="AY665" t="s">
        <v>74</v>
      </c>
      <c r="AZ665" t="s">
        <v>74</v>
      </c>
      <c r="BA665" t="s">
        <v>74</v>
      </c>
      <c r="BB665">
        <v>83</v>
      </c>
      <c r="BC665">
        <v>91</v>
      </c>
      <c r="BD665" t="s">
        <v>74</v>
      </c>
      <c r="BE665" t="s">
        <v>74</v>
      </c>
      <c r="BF665" t="s">
        <v>74</v>
      </c>
      <c r="BG665" t="s">
        <v>74</v>
      </c>
      <c r="BH665" t="s">
        <v>74</v>
      </c>
      <c r="BI665">
        <v>9</v>
      </c>
      <c r="BJ665" t="s">
        <v>1856</v>
      </c>
      <c r="BK665" t="s">
        <v>7004</v>
      </c>
      <c r="BL665" t="s">
        <v>1856</v>
      </c>
      <c r="BM665" t="s">
        <v>9179</v>
      </c>
      <c r="BN665" t="s">
        <v>74</v>
      </c>
      <c r="BO665" t="s">
        <v>665</v>
      </c>
      <c r="BP665" t="s">
        <v>74</v>
      </c>
      <c r="BQ665" t="s">
        <v>74</v>
      </c>
      <c r="BR665" t="s">
        <v>107</v>
      </c>
      <c r="BS665" t="s">
        <v>9180</v>
      </c>
      <c r="BT665" t="str">
        <f>HYPERLINK("https%3A%2F%2Fwww.webofscience.com%2Fwos%2Fwoscc%2Ffull-record%2FWOS:000176917100014","View Full Record in Web of Science")</f>
        <v>View Full Record in Web of Science</v>
      </c>
    </row>
    <row r="666" spans="1:72" x14ac:dyDescent="0.15">
      <c r="A666" t="s">
        <v>72</v>
      </c>
      <c r="B666" t="s">
        <v>9181</v>
      </c>
      <c r="C666" t="s">
        <v>74</v>
      </c>
      <c r="D666" t="s">
        <v>74</v>
      </c>
      <c r="E666" t="s">
        <v>74</v>
      </c>
      <c r="F666" t="s">
        <v>9181</v>
      </c>
      <c r="G666" t="s">
        <v>74</v>
      </c>
      <c r="H666" t="s">
        <v>74</v>
      </c>
      <c r="I666" t="s">
        <v>9182</v>
      </c>
      <c r="J666" t="s">
        <v>1262</v>
      </c>
      <c r="K666" t="s">
        <v>74</v>
      </c>
      <c r="L666" t="s">
        <v>74</v>
      </c>
      <c r="M666" t="s">
        <v>77</v>
      </c>
      <c r="N666" t="s">
        <v>751</v>
      </c>
      <c r="O666" t="s">
        <v>74</v>
      </c>
      <c r="P666" t="s">
        <v>74</v>
      </c>
      <c r="Q666" t="s">
        <v>74</v>
      </c>
      <c r="R666" t="s">
        <v>74</v>
      </c>
      <c r="S666" t="s">
        <v>74</v>
      </c>
      <c r="T666" t="s">
        <v>9183</v>
      </c>
      <c r="U666" t="s">
        <v>74</v>
      </c>
      <c r="V666" t="s">
        <v>9184</v>
      </c>
      <c r="W666" t="s">
        <v>74</v>
      </c>
      <c r="X666" t="s">
        <v>74</v>
      </c>
      <c r="Y666" t="s">
        <v>9185</v>
      </c>
      <c r="Z666" t="s">
        <v>74</v>
      </c>
      <c r="AA666" t="s">
        <v>74</v>
      </c>
      <c r="AB666" t="s">
        <v>74</v>
      </c>
      <c r="AC666" t="s">
        <v>74</v>
      </c>
      <c r="AD666" t="s">
        <v>74</v>
      </c>
      <c r="AE666" t="s">
        <v>74</v>
      </c>
      <c r="AF666" t="s">
        <v>74</v>
      </c>
      <c r="AG666">
        <v>9</v>
      </c>
      <c r="AH666">
        <v>5</v>
      </c>
      <c r="AI666">
        <v>5</v>
      </c>
      <c r="AJ666">
        <v>0</v>
      </c>
      <c r="AK666">
        <v>38</v>
      </c>
      <c r="AL666" t="s">
        <v>132</v>
      </c>
      <c r="AM666" t="s">
        <v>91</v>
      </c>
      <c r="AN666" t="s">
        <v>133</v>
      </c>
      <c r="AO666" t="s">
        <v>1270</v>
      </c>
      <c r="AP666" t="s">
        <v>74</v>
      </c>
      <c r="AQ666" t="s">
        <v>74</v>
      </c>
      <c r="AR666" t="s">
        <v>1271</v>
      </c>
      <c r="AS666" t="s">
        <v>1272</v>
      </c>
      <c r="AT666" t="s">
        <v>7127</v>
      </c>
      <c r="AU666">
        <v>2002</v>
      </c>
      <c r="AV666">
        <v>54</v>
      </c>
      <c r="AW666">
        <v>2</v>
      </c>
      <c r="AX666" t="s">
        <v>74</v>
      </c>
      <c r="AY666" t="s">
        <v>74</v>
      </c>
      <c r="AZ666" t="s">
        <v>74</v>
      </c>
      <c r="BA666" t="s">
        <v>74</v>
      </c>
      <c r="BB666">
        <v>145</v>
      </c>
      <c r="BC666">
        <v>151</v>
      </c>
      <c r="BD666" t="s">
        <v>74</v>
      </c>
      <c r="BE666" t="s">
        <v>74</v>
      </c>
      <c r="BF666" t="s">
        <v>74</v>
      </c>
      <c r="BG666" t="s">
        <v>74</v>
      </c>
      <c r="BH666" t="s">
        <v>74</v>
      </c>
      <c r="BI666">
        <v>7</v>
      </c>
      <c r="BJ666" t="s">
        <v>1275</v>
      </c>
      <c r="BK666" t="s">
        <v>170</v>
      </c>
      <c r="BL666" t="s">
        <v>1275</v>
      </c>
      <c r="BM666" t="s">
        <v>9186</v>
      </c>
      <c r="BN666" t="s">
        <v>74</v>
      </c>
      <c r="BO666" t="s">
        <v>74</v>
      </c>
      <c r="BP666" t="s">
        <v>74</v>
      </c>
      <c r="BQ666" t="s">
        <v>74</v>
      </c>
      <c r="BR666" t="s">
        <v>107</v>
      </c>
      <c r="BS666" t="s">
        <v>9187</v>
      </c>
      <c r="BT666" t="str">
        <f>HYPERLINK("https%3A%2F%2Fwww.webofscience.com%2Fwos%2Fwoscc%2Ffull-record%2FWOS:000172929300001","View Full Record in Web of Science")</f>
        <v>View Full Record in Web of Science</v>
      </c>
    </row>
    <row r="667" spans="1:72" x14ac:dyDescent="0.15">
      <c r="A667" t="s">
        <v>72</v>
      </c>
      <c r="B667" t="s">
        <v>2433</v>
      </c>
      <c r="C667" t="s">
        <v>74</v>
      </c>
      <c r="D667" t="s">
        <v>74</v>
      </c>
      <c r="E667" t="s">
        <v>74</v>
      </c>
      <c r="F667" t="s">
        <v>2433</v>
      </c>
      <c r="G667" t="s">
        <v>74</v>
      </c>
      <c r="H667" t="s">
        <v>74</v>
      </c>
      <c r="I667" t="s">
        <v>9188</v>
      </c>
      <c r="J667" t="s">
        <v>1262</v>
      </c>
      <c r="K667" t="s">
        <v>74</v>
      </c>
      <c r="L667" t="s">
        <v>74</v>
      </c>
      <c r="M667" t="s">
        <v>77</v>
      </c>
      <c r="N667" t="s">
        <v>153</v>
      </c>
      <c r="O667" t="s">
        <v>74</v>
      </c>
      <c r="P667" t="s">
        <v>74</v>
      </c>
      <c r="Q667" t="s">
        <v>74</v>
      </c>
      <c r="R667" t="s">
        <v>74</v>
      </c>
      <c r="S667" t="s">
        <v>74</v>
      </c>
      <c r="T667" t="s">
        <v>9189</v>
      </c>
      <c r="U667" t="s">
        <v>9190</v>
      </c>
      <c r="V667" t="s">
        <v>9191</v>
      </c>
      <c r="W667" t="s">
        <v>9192</v>
      </c>
      <c r="X667" t="s">
        <v>1951</v>
      </c>
      <c r="Y667" t="s">
        <v>9193</v>
      </c>
      <c r="Z667" t="s">
        <v>74</v>
      </c>
      <c r="AA667" t="s">
        <v>74</v>
      </c>
      <c r="AB667" t="s">
        <v>74</v>
      </c>
      <c r="AC667" t="s">
        <v>74</v>
      </c>
      <c r="AD667" t="s">
        <v>74</v>
      </c>
      <c r="AE667" t="s">
        <v>74</v>
      </c>
      <c r="AF667" t="s">
        <v>74</v>
      </c>
      <c r="AG667">
        <v>26</v>
      </c>
      <c r="AH667">
        <v>23</v>
      </c>
      <c r="AI667">
        <v>24</v>
      </c>
      <c r="AJ667">
        <v>0</v>
      </c>
      <c r="AK667">
        <v>15</v>
      </c>
      <c r="AL667" t="s">
        <v>132</v>
      </c>
      <c r="AM667" t="s">
        <v>91</v>
      </c>
      <c r="AN667" t="s">
        <v>133</v>
      </c>
      <c r="AO667" t="s">
        <v>1270</v>
      </c>
      <c r="AP667" t="s">
        <v>74</v>
      </c>
      <c r="AQ667" t="s">
        <v>74</v>
      </c>
      <c r="AR667" t="s">
        <v>1271</v>
      </c>
      <c r="AS667" t="s">
        <v>1272</v>
      </c>
      <c r="AT667" t="s">
        <v>7127</v>
      </c>
      <c r="AU667">
        <v>2002</v>
      </c>
      <c r="AV667">
        <v>54</v>
      </c>
      <c r="AW667">
        <v>2</v>
      </c>
      <c r="AX667" t="s">
        <v>74</v>
      </c>
      <c r="AY667" t="s">
        <v>74</v>
      </c>
      <c r="AZ667" t="s">
        <v>74</v>
      </c>
      <c r="BA667" t="s">
        <v>74</v>
      </c>
      <c r="BB667">
        <v>253</v>
      </c>
      <c r="BC667">
        <v>265</v>
      </c>
      <c r="BD667" t="s">
        <v>74</v>
      </c>
      <c r="BE667" t="s">
        <v>9194</v>
      </c>
      <c r="BF667" t="str">
        <f>HYPERLINK("http://dx.doi.org/10.1016/S0165-7836(00)00307-6","http://dx.doi.org/10.1016/S0165-7836(00)00307-6")</f>
        <v>http://dx.doi.org/10.1016/S0165-7836(00)00307-6</v>
      </c>
      <c r="BG667" t="s">
        <v>74</v>
      </c>
      <c r="BH667" t="s">
        <v>74</v>
      </c>
      <c r="BI667">
        <v>13</v>
      </c>
      <c r="BJ667" t="s">
        <v>1275</v>
      </c>
      <c r="BK667" t="s">
        <v>170</v>
      </c>
      <c r="BL667" t="s">
        <v>1275</v>
      </c>
      <c r="BM667" t="s">
        <v>9186</v>
      </c>
      <c r="BN667" t="s">
        <v>74</v>
      </c>
      <c r="BO667" t="s">
        <v>74</v>
      </c>
      <c r="BP667" t="s">
        <v>74</v>
      </c>
      <c r="BQ667" t="s">
        <v>74</v>
      </c>
      <c r="BR667" t="s">
        <v>107</v>
      </c>
      <c r="BS667" t="s">
        <v>9195</v>
      </c>
      <c r="BT667" t="str">
        <f>HYPERLINK("https%3A%2F%2Fwww.webofscience.com%2Fwos%2Fwoscc%2Ffull-record%2FWOS:000172929300009","View Full Record in Web of Science")</f>
        <v>View Full Record in Web of Science</v>
      </c>
    </row>
    <row r="668" spans="1:72" x14ac:dyDescent="0.15">
      <c r="A668" t="s">
        <v>72</v>
      </c>
      <c r="B668" t="s">
        <v>9196</v>
      </c>
      <c r="C668" t="s">
        <v>74</v>
      </c>
      <c r="D668" t="s">
        <v>74</v>
      </c>
      <c r="E668" t="s">
        <v>74</v>
      </c>
      <c r="F668" t="s">
        <v>9197</v>
      </c>
      <c r="G668" t="s">
        <v>74</v>
      </c>
      <c r="H668" t="s">
        <v>74</v>
      </c>
      <c r="I668" t="s">
        <v>9198</v>
      </c>
      <c r="J668" t="s">
        <v>1280</v>
      </c>
      <c r="K668" t="s">
        <v>74</v>
      </c>
      <c r="L668" t="s">
        <v>74</v>
      </c>
      <c r="M668" t="s">
        <v>77</v>
      </c>
      <c r="N668" t="s">
        <v>153</v>
      </c>
      <c r="O668" t="s">
        <v>74</v>
      </c>
      <c r="P668" t="s">
        <v>74</v>
      </c>
      <c r="Q668" t="s">
        <v>74</v>
      </c>
      <c r="R668" t="s">
        <v>74</v>
      </c>
      <c r="S668" t="s">
        <v>74</v>
      </c>
      <c r="T668" t="s">
        <v>9199</v>
      </c>
      <c r="U668" t="s">
        <v>74</v>
      </c>
      <c r="V668" t="s">
        <v>9200</v>
      </c>
      <c r="W668" t="s">
        <v>9201</v>
      </c>
      <c r="X668" t="s">
        <v>9202</v>
      </c>
      <c r="Y668" t="s">
        <v>9203</v>
      </c>
      <c r="Z668" t="s">
        <v>9204</v>
      </c>
      <c r="AA668" t="s">
        <v>74</v>
      </c>
      <c r="AB668" t="s">
        <v>74</v>
      </c>
      <c r="AC668" t="s">
        <v>9205</v>
      </c>
      <c r="AD668" t="s">
        <v>9206</v>
      </c>
      <c r="AE668" t="s">
        <v>9207</v>
      </c>
      <c r="AF668" t="s">
        <v>74</v>
      </c>
      <c r="AG668">
        <v>23</v>
      </c>
      <c r="AH668">
        <v>3</v>
      </c>
      <c r="AI668">
        <v>3</v>
      </c>
      <c r="AJ668">
        <v>1</v>
      </c>
      <c r="AK668">
        <v>18</v>
      </c>
      <c r="AL668" t="s">
        <v>9208</v>
      </c>
      <c r="AM668" t="s">
        <v>1287</v>
      </c>
      <c r="AN668" t="s">
        <v>9209</v>
      </c>
      <c r="AO668" t="s">
        <v>1289</v>
      </c>
      <c r="AP668" t="s">
        <v>74</v>
      </c>
      <c r="AQ668" t="s">
        <v>74</v>
      </c>
      <c r="AR668" t="s">
        <v>1290</v>
      </c>
      <c r="AS668" t="s">
        <v>1291</v>
      </c>
      <c r="AT668" t="s">
        <v>74</v>
      </c>
      <c r="AU668">
        <v>2002</v>
      </c>
      <c r="AV668">
        <v>68</v>
      </c>
      <c r="AW668" t="s">
        <v>74</v>
      </c>
      <c r="AX668" t="s">
        <v>74</v>
      </c>
      <c r="AY668">
        <v>1</v>
      </c>
      <c r="AZ668" t="s">
        <v>74</v>
      </c>
      <c r="BA668" t="s">
        <v>74</v>
      </c>
      <c r="BB668">
        <v>272</v>
      </c>
      <c r="BC668">
        <v>275</v>
      </c>
      <c r="BD668" t="s">
        <v>74</v>
      </c>
      <c r="BE668" t="s">
        <v>9210</v>
      </c>
      <c r="BF668" t="str">
        <f>HYPERLINK("http://dx.doi.org/10.2331/fishsci.68.sup1_272","http://dx.doi.org/10.2331/fishsci.68.sup1_272")</f>
        <v>http://dx.doi.org/10.2331/fishsci.68.sup1_272</v>
      </c>
      <c r="BG668" t="s">
        <v>74</v>
      </c>
      <c r="BH668" t="s">
        <v>74</v>
      </c>
      <c r="BI668">
        <v>4</v>
      </c>
      <c r="BJ668" t="s">
        <v>1275</v>
      </c>
      <c r="BK668" t="s">
        <v>170</v>
      </c>
      <c r="BL668" t="s">
        <v>1275</v>
      </c>
      <c r="BM668" t="s">
        <v>9211</v>
      </c>
      <c r="BN668" t="s">
        <v>74</v>
      </c>
      <c r="BO668" t="s">
        <v>173</v>
      </c>
      <c r="BP668" t="s">
        <v>74</v>
      </c>
      <c r="BQ668" t="s">
        <v>74</v>
      </c>
      <c r="BR668" t="s">
        <v>107</v>
      </c>
      <c r="BS668" t="s">
        <v>9212</v>
      </c>
      <c r="BT668" t="str">
        <f>HYPERLINK("https%3A%2F%2Fwww.webofscience.com%2Fwos%2Fwoscc%2Ffull-record%2FWOS:000207780600062","View Full Record in Web of Science")</f>
        <v>View Full Record in Web of Science</v>
      </c>
    </row>
    <row r="669" spans="1:72" x14ac:dyDescent="0.15">
      <c r="A669" t="s">
        <v>72</v>
      </c>
      <c r="B669" t="s">
        <v>9213</v>
      </c>
      <c r="C669" t="s">
        <v>74</v>
      </c>
      <c r="D669" t="s">
        <v>74</v>
      </c>
      <c r="E669" t="s">
        <v>74</v>
      </c>
      <c r="F669" t="s">
        <v>9214</v>
      </c>
      <c r="G669" t="s">
        <v>74</v>
      </c>
      <c r="H669" t="s">
        <v>74</v>
      </c>
      <c r="I669" t="s">
        <v>9215</v>
      </c>
      <c r="J669" t="s">
        <v>1280</v>
      </c>
      <c r="K669" t="s">
        <v>74</v>
      </c>
      <c r="L669" t="s">
        <v>74</v>
      </c>
      <c r="M669" t="s">
        <v>77</v>
      </c>
      <c r="N669" t="s">
        <v>153</v>
      </c>
      <c r="O669" t="s">
        <v>74</v>
      </c>
      <c r="P669" t="s">
        <v>74</v>
      </c>
      <c r="Q669" t="s">
        <v>74</v>
      </c>
      <c r="R669" t="s">
        <v>74</v>
      </c>
      <c r="S669" t="s">
        <v>74</v>
      </c>
      <c r="T669" t="s">
        <v>9216</v>
      </c>
      <c r="U669" t="s">
        <v>74</v>
      </c>
      <c r="V669" t="s">
        <v>9217</v>
      </c>
      <c r="W669" t="s">
        <v>9218</v>
      </c>
      <c r="X669" t="s">
        <v>9219</v>
      </c>
      <c r="Y669" t="s">
        <v>9220</v>
      </c>
      <c r="Z669" t="s">
        <v>9221</v>
      </c>
      <c r="AA669" t="s">
        <v>74</v>
      </c>
      <c r="AB669" t="s">
        <v>74</v>
      </c>
      <c r="AC669" t="s">
        <v>9222</v>
      </c>
      <c r="AD669" t="s">
        <v>9222</v>
      </c>
      <c r="AE669" t="s">
        <v>9223</v>
      </c>
      <c r="AF669" t="s">
        <v>74</v>
      </c>
      <c r="AG669">
        <v>11</v>
      </c>
      <c r="AH669">
        <v>0</v>
      </c>
      <c r="AI669">
        <v>1</v>
      </c>
      <c r="AJ669">
        <v>0</v>
      </c>
      <c r="AK669">
        <v>29</v>
      </c>
      <c r="AL669" t="s">
        <v>9208</v>
      </c>
      <c r="AM669" t="s">
        <v>1287</v>
      </c>
      <c r="AN669" t="s">
        <v>9209</v>
      </c>
      <c r="AO669" t="s">
        <v>1289</v>
      </c>
      <c r="AP669" t="s">
        <v>74</v>
      </c>
      <c r="AQ669" t="s">
        <v>74</v>
      </c>
      <c r="AR669" t="s">
        <v>1290</v>
      </c>
      <c r="AS669" t="s">
        <v>1291</v>
      </c>
      <c r="AT669" t="s">
        <v>74</v>
      </c>
      <c r="AU669">
        <v>2002</v>
      </c>
      <c r="AV669">
        <v>68</v>
      </c>
      <c r="AW669" t="s">
        <v>74</v>
      </c>
      <c r="AX669" t="s">
        <v>74</v>
      </c>
      <c r="AY669">
        <v>1</v>
      </c>
      <c r="AZ669" t="s">
        <v>74</v>
      </c>
      <c r="BA669" t="s">
        <v>74</v>
      </c>
      <c r="BB669">
        <v>276</v>
      </c>
      <c r="BC669">
        <v>281</v>
      </c>
      <c r="BD669" t="s">
        <v>74</v>
      </c>
      <c r="BE669" t="s">
        <v>9224</v>
      </c>
      <c r="BF669" t="str">
        <f>HYPERLINK("http://dx.doi.org/10.2331/fishsci.68.sup1_276","http://dx.doi.org/10.2331/fishsci.68.sup1_276")</f>
        <v>http://dx.doi.org/10.2331/fishsci.68.sup1_276</v>
      </c>
      <c r="BG669" t="s">
        <v>74</v>
      </c>
      <c r="BH669" t="s">
        <v>74</v>
      </c>
      <c r="BI669">
        <v>6</v>
      </c>
      <c r="BJ669" t="s">
        <v>1275</v>
      </c>
      <c r="BK669" t="s">
        <v>170</v>
      </c>
      <c r="BL669" t="s">
        <v>1275</v>
      </c>
      <c r="BM669" t="s">
        <v>9211</v>
      </c>
      <c r="BN669" t="s">
        <v>74</v>
      </c>
      <c r="BO669" t="s">
        <v>74</v>
      </c>
      <c r="BP669" t="s">
        <v>74</v>
      </c>
      <c r="BQ669" t="s">
        <v>74</v>
      </c>
      <c r="BR669" t="s">
        <v>107</v>
      </c>
      <c r="BS669" t="s">
        <v>9225</v>
      </c>
      <c r="BT669" t="str">
        <f>HYPERLINK("https%3A%2F%2Fwww.webofscience.com%2Fwos%2Fwoscc%2Ffull-record%2FWOS:000207780600063","View Full Record in Web of Science")</f>
        <v>View Full Record in Web of Science</v>
      </c>
    </row>
    <row r="670" spans="1:72" x14ac:dyDescent="0.15">
      <c r="A670" t="s">
        <v>72</v>
      </c>
      <c r="B670" t="s">
        <v>9226</v>
      </c>
      <c r="C670" t="s">
        <v>74</v>
      </c>
      <c r="D670" t="s">
        <v>74</v>
      </c>
      <c r="E670" t="s">
        <v>74</v>
      </c>
      <c r="F670" t="s">
        <v>9227</v>
      </c>
      <c r="G670" t="s">
        <v>74</v>
      </c>
      <c r="H670" t="s">
        <v>74</v>
      </c>
      <c r="I670" t="s">
        <v>9228</v>
      </c>
      <c r="J670" t="s">
        <v>1280</v>
      </c>
      <c r="K670" t="s">
        <v>74</v>
      </c>
      <c r="L670" t="s">
        <v>74</v>
      </c>
      <c r="M670" t="s">
        <v>77</v>
      </c>
      <c r="N670" t="s">
        <v>153</v>
      </c>
      <c r="O670" t="s">
        <v>74</v>
      </c>
      <c r="P670" t="s">
        <v>74</v>
      </c>
      <c r="Q670" t="s">
        <v>74</v>
      </c>
      <c r="R670" t="s">
        <v>74</v>
      </c>
      <c r="S670" t="s">
        <v>74</v>
      </c>
      <c r="T670" t="s">
        <v>9229</v>
      </c>
      <c r="U670" t="s">
        <v>74</v>
      </c>
      <c r="V670" t="s">
        <v>9230</v>
      </c>
      <c r="W670" t="s">
        <v>9231</v>
      </c>
      <c r="X670" t="s">
        <v>74</v>
      </c>
      <c r="Y670" t="s">
        <v>9232</v>
      </c>
      <c r="Z670" t="s">
        <v>9233</v>
      </c>
      <c r="AA670" t="s">
        <v>74</v>
      </c>
      <c r="AB670" t="s">
        <v>74</v>
      </c>
      <c r="AC670" t="s">
        <v>74</v>
      </c>
      <c r="AD670" t="s">
        <v>74</v>
      </c>
      <c r="AE670" t="s">
        <v>74</v>
      </c>
      <c r="AF670" t="s">
        <v>74</v>
      </c>
      <c r="AG670">
        <v>13</v>
      </c>
      <c r="AH670">
        <v>0</v>
      </c>
      <c r="AI670">
        <v>0</v>
      </c>
      <c r="AJ670">
        <v>0</v>
      </c>
      <c r="AK670">
        <v>9</v>
      </c>
      <c r="AL670" t="s">
        <v>9208</v>
      </c>
      <c r="AM670" t="s">
        <v>1287</v>
      </c>
      <c r="AN670" t="s">
        <v>9209</v>
      </c>
      <c r="AO670" t="s">
        <v>1289</v>
      </c>
      <c r="AP670" t="s">
        <v>74</v>
      </c>
      <c r="AQ670" t="s">
        <v>74</v>
      </c>
      <c r="AR670" t="s">
        <v>1290</v>
      </c>
      <c r="AS670" t="s">
        <v>1291</v>
      </c>
      <c r="AT670" t="s">
        <v>74</v>
      </c>
      <c r="AU670">
        <v>2002</v>
      </c>
      <c r="AV670">
        <v>68</v>
      </c>
      <c r="AW670" t="s">
        <v>74</v>
      </c>
      <c r="AX670" t="s">
        <v>74</v>
      </c>
      <c r="AY670">
        <v>1</v>
      </c>
      <c r="AZ670" t="s">
        <v>74</v>
      </c>
      <c r="BA670" t="s">
        <v>74</v>
      </c>
      <c r="BB670">
        <v>286</v>
      </c>
      <c r="BC670">
        <v>289</v>
      </c>
      <c r="BD670" t="s">
        <v>74</v>
      </c>
      <c r="BE670" t="s">
        <v>9234</v>
      </c>
      <c r="BF670" t="str">
        <f>HYPERLINK("http://dx.doi.org/10.2331/fishsci.68.sup1_286","http://dx.doi.org/10.2331/fishsci.68.sup1_286")</f>
        <v>http://dx.doi.org/10.2331/fishsci.68.sup1_286</v>
      </c>
      <c r="BG670" t="s">
        <v>74</v>
      </c>
      <c r="BH670" t="s">
        <v>74</v>
      </c>
      <c r="BI670">
        <v>4</v>
      </c>
      <c r="BJ670" t="s">
        <v>1275</v>
      </c>
      <c r="BK670" t="s">
        <v>170</v>
      </c>
      <c r="BL670" t="s">
        <v>1275</v>
      </c>
      <c r="BM670" t="s">
        <v>9211</v>
      </c>
      <c r="BN670" t="s">
        <v>74</v>
      </c>
      <c r="BO670" t="s">
        <v>173</v>
      </c>
      <c r="BP670" t="s">
        <v>74</v>
      </c>
      <c r="BQ670" t="s">
        <v>74</v>
      </c>
      <c r="BR670" t="s">
        <v>107</v>
      </c>
      <c r="BS670" t="s">
        <v>9235</v>
      </c>
      <c r="BT670" t="str">
        <f>HYPERLINK("https%3A%2F%2Fwww.webofscience.com%2Fwos%2Fwoscc%2Ffull-record%2FWOS:000207780600065","View Full Record in Web of Science")</f>
        <v>View Full Record in Web of Science</v>
      </c>
    </row>
    <row r="671" spans="1:72" x14ac:dyDescent="0.15">
      <c r="A671" t="s">
        <v>72</v>
      </c>
      <c r="B671" t="s">
        <v>9236</v>
      </c>
      <c r="C671" t="s">
        <v>74</v>
      </c>
      <c r="D671" t="s">
        <v>74</v>
      </c>
      <c r="E671" t="s">
        <v>74</v>
      </c>
      <c r="F671" t="s">
        <v>9237</v>
      </c>
      <c r="G671" t="s">
        <v>74</v>
      </c>
      <c r="H671" t="s">
        <v>74</v>
      </c>
      <c r="I671" t="s">
        <v>9238</v>
      </c>
      <c r="J671" t="s">
        <v>1280</v>
      </c>
      <c r="K671" t="s">
        <v>74</v>
      </c>
      <c r="L671" t="s">
        <v>74</v>
      </c>
      <c r="M671" t="s">
        <v>77</v>
      </c>
      <c r="N671" t="s">
        <v>153</v>
      </c>
      <c r="O671" t="s">
        <v>74</v>
      </c>
      <c r="P671" t="s">
        <v>74</v>
      </c>
      <c r="Q671" t="s">
        <v>74</v>
      </c>
      <c r="R671" t="s">
        <v>74</v>
      </c>
      <c r="S671" t="s">
        <v>74</v>
      </c>
      <c r="T671" t="s">
        <v>9239</v>
      </c>
      <c r="U671" t="s">
        <v>9240</v>
      </c>
      <c r="V671" t="s">
        <v>9241</v>
      </c>
      <c r="W671" t="s">
        <v>9242</v>
      </c>
      <c r="X671" t="s">
        <v>1623</v>
      </c>
      <c r="Y671" t="s">
        <v>9243</v>
      </c>
      <c r="Z671" t="s">
        <v>74</v>
      </c>
      <c r="AA671" t="s">
        <v>74</v>
      </c>
      <c r="AB671" t="s">
        <v>74</v>
      </c>
      <c r="AC671" t="s">
        <v>9244</v>
      </c>
      <c r="AD671" t="s">
        <v>9245</v>
      </c>
      <c r="AE671" t="s">
        <v>9246</v>
      </c>
      <c r="AF671" t="s">
        <v>74</v>
      </c>
      <c r="AG671">
        <v>23</v>
      </c>
      <c r="AH671">
        <v>1</v>
      </c>
      <c r="AI671">
        <v>1</v>
      </c>
      <c r="AJ671">
        <v>0</v>
      </c>
      <c r="AK671">
        <v>9</v>
      </c>
      <c r="AL671" t="s">
        <v>9247</v>
      </c>
      <c r="AM671" t="s">
        <v>1287</v>
      </c>
      <c r="AN671" t="s">
        <v>9248</v>
      </c>
      <c r="AO671" t="s">
        <v>1289</v>
      </c>
      <c r="AP671" t="s">
        <v>9249</v>
      </c>
      <c r="AQ671" t="s">
        <v>74</v>
      </c>
      <c r="AR671" t="s">
        <v>1290</v>
      </c>
      <c r="AS671" t="s">
        <v>1291</v>
      </c>
      <c r="AT671" t="s">
        <v>74</v>
      </c>
      <c r="AU671">
        <v>2002</v>
      </c>
      <c r="AV671">
        <v>68</v>
      </c>
      <c r="AW671" t="s">
        <v>74</v>
      </c>
      <c r="AX671" t="s">
        <v>74</v>
      </c>
      <c r="AY671">
        <v>1</v>
      </c>
      <c r="AZ671" t="s">
        <v>74</v>
      </c>
      <c r="BA671" t="s">
        <v>74</v>
      </c>
      <c r="BB671">
        <v>290</v>
      </c>
      <c r="BC671">
        <v>293</v>
      </c>
      <c r="BD671" t="s">
        <v>74</v>
      </c>
      <c r="BE671" t="s">
        <v>9250</v>
      </c>
      <c r="BF671" t="str">
        <f>HYPERLINK("http://dx.doi.org/10.2331/fishsci.68.sup1_290","http://dx.doi.org/10.2331/fishsci.68.sup1_290")</f>
        <v>http://dx.doi.org/10.2331/fishsci.68.sup1_290</v>
      </c>
      <c r="BG671" t="s">
        <v>74</v>
      </c>
      <c r="BH671" t="s">
        <v>74</v>
      </c>
      <c r="BI671">
        <v>4</v>
      </c>
      <c r="BJ671" t="s">
        <v>1275</v>
      </c>
      <c r="BK671" t="s">
        <v>170</v>
      </c>
      <c r="BL671" t="s">
        <v>1275</v>
      </c>
      <c r="BM671" t="s">
        <v>9211</v>
      </c>
      <c r="BN671" t="s">
        <v>74</v>
      </c>
      <c r="BO671" t="s">
        <v>173</v>
      </c>
      <c r="BP671" t="s">
        <v>74</v>
      </c>
      <c r="BQ671" t="s">
        <v>74</v>
      </c>
      <c r="BR671" t="s">
        <v>107</v>
      </c>
      <c r="BS671" t="s">
        <v>9251</v>
      </c>
      <c r="BT671" t="str">
        <f>HYPERLINK("https%3A%2F%2Fwww.webofscience.com%2Fwos%2Fwoscc%2Ffull-record%2FWOS:000207780600066","View Full Record in Web of Science")</f>
        <v>View Full Record in Web of Science</v>
      </c>
    </row>
    <row r="672" spans="1:72" x14ac:dyDescent="0.15">
      <c r="A672" t="s">
        <v>72</v>
      </c>
      <c r="B672" t="s">
        <v>9252</v>
      </c>
      <c r="C672" t="s">
        <v>74</v>
      </c>
      <c r="D672" t="s">
        <v>74</v>
      </c>
      <c r="E672" t="s">
        <v>74</v>
      </c>
      <c r="F672" t="s">
        <v>9252</v>
      </c>
      <c r="G672" t="s">
        <v>74</v>
      </c>
      <c r="H672" t="s">
        <v>74</v>
      </c>
      <c r="I672" t="s">
        <v>9253</v>
      </c>
      <c r="J672" t="s">
        <v>9254</v>
      </c>
      <c r="K672" t="s">
        <v>74</v>
      </c>
      <c r="L672" t="s">
        <v>74</v>
      </c>
      <c r="M672" t="s">
        <v>77</v>
      </c>
      <c r="N672" t="s">
        <v>153</v>
      </c>
      <c r="O672" t="s">
        <v>74</v>
      </c>
      <c r="P672" t="s">
        <v>74</v>
      </c>
      <c r="Q672" t="s">
        <v>74</v>
      </c>
      <c r="R672" t="s">
        <v>74</v>
      </c>
      <c r="S672" t="s">
        <v>74</v>
      </c>
      <c r="T672" t="s">
        <v>74</v>
      </c>
      <c r="U672" t="s">
        <v>9255</v>
      </c>
      <c r="V672" t="s">
        <v>9256</v>
      </c>
      <c r="W672" t="s">
        <v>9257</v>
      </c>
      <c r="X672" t="s">
        <v>9258</v>
      </c>
      <c r="Y672" t="s">
        <v>9259</v>
      </c>
      <c r="Z672" t="s">
        <v>74</v>
      </c>
      <c r="AA672" t="s">
        <v>9260</v>
      </c>
      <c r="AB672" t="s">
        <v>74</v>
      </c>
      <c r="AC672" t="s">
        <v>74</v>
      </c>
      <c r="AD672" t="s">
        <v>74</v>
      </c>
      <c r="AE672" t="s">
        <v>74</v>
      </c>
      <c r="AF672" t="s">
        <v>74</v>
      </c>
      <c r="AG672">
        <v>17</v>
      </c>
      <c r="AH672">
        <v>32</v>
      </c>
      <c r="AI672">
        <v>46</v>
      </c>
      <c r="AJ672">
        <v>2</v>
      </c>
      <c r="AK672">
        <v>26</v>
      </c>
      <c r="AL672" t="s">
        <v>9254</v>
      </c>
      <c r="AM672" t="s">
        <v>9261</v>
      </c>
      <c r="AN672" t="s">
        <v>9262</v>
      </c>
      <c r="AO672" t="s">
        <v>9263</v>
      </c>
      <c r="AP672" t="s">
        <v>74</v>
      </c>
      <c r="AQ672" t="s">
        <v>74</v>
      </c>
      <c r="AR672" t="s">
        <v>9264</v>
      </c>
      <c r="AS672" t="s">
        <v>9265</v>
      </c>
      <c r="AT672" t="s">
        <v>74</v>
      </c>
      <c r="AU672">
        <v>2002</v>
      </c>
      <c r="AV672">
        <v>47</v>
      </c>
      <c r="AW672">
        <v>3</v>
      </c>
      <c r="AX672" t="s">
        <v>74</v>
      </c>
      <c r="AY672" t="s">
        <v>74</v>
      </c>
      <c r="AZ672" t="s">
        <v>74</v>
      </c>
      <c r="BA672" t="s">
        <v>74</v>
      </c>
      <c r="BB672">
        <v>241</v>
      </c>
      <c r="BC672">
        <v>245</v>
      </c>
      <c r="BD672" t="s">
        <v>74</v>
      </c>
      <c r="BE672" t="s">
        <v>9266</v>
      </c>
      <c r="BF672" t="str">
        <f>HYPERLINK("http://dx.doi.org/10.1007/BF02817645","http://dx.doi.org/10.1007/BF02817645")</f>
        <v>http://dx.doi.org/10.1007/BF02817645</v>
      </c>
      <c r="BG672" t="s">
        <v>74</v>
      </c>
      <c r="BH672" t="s">
        <v>74</v>
      </c>
      <c r="BI672">
        <v>5</v>
      </c>
      <c r="BJ672" t="s">
        <v>880</v>
      </c>
      <c r="BK672" t="s">
        <v>170</v>
      </c>
      <c r="BL672" t="s">
        <v>880</v>
      </c>
      <c r="BM672" t="s">
        <v>9267</v>
      </c>
      <c r="BN672">
        <v>12094732</v>
      </c>
      <c r="BO672" t="s">
        <v>74</v>
      </c>
      <c r="BP672" t="s">
        <v>74</v>
      </c>
      <c r="BQ672" t="s">
        <v>74</v>
      </c>
      <c r="BR672" t="s">
        <v>107</v>
      </c>
      <c r="BS672" t="s">
        <v>9268</v>
      </c>
      <c r="BT672" t="str">
        <f>HYPERLINK("https%3A%2F%2Fwww.webofscience.com%2Fwos%2Fwoscc%2Ffull-record%2FWOS:000175990400007","View Full Record in Web of Science")</f>
        <v>View Full Record in Web of Science</v>
      </c>
    </row>
    <row r="673" spans="1:72" x14ac:dyDescent="0.15">
      <c r="A673" t="s">
        <v>6989</v>
      </c>
      <c r="B673" t="s">
        <v>9269</v>
      </c>
      <c r="C673" t="s">
        <v>74</v>
      </c>
      <c r="D673" t="s">
        <v>9270</v>
      </c>
      <c r="E673" t="s">
        <v>74</v>
      </c>
      <c r="F673" t="s">
        <v>9269</v>
      </c>
      <c r="G673" t="s">
        <v>74</v>
      </c>
      <c r="H673" t="s">
        <v>74</v>
      </c>
      <c r="I673" t="s">
        <v>9271</v>
      </c>
      <c r="J673" t="s">
        <v>9272</v>
      </c>
      <c r="K673" t="s">
        <v>9001</v>
      </c>
      <c r="L673" t="s">
        <v>74</v>
      </c>
      <c r="M673" t="s">
        <v>77</v>
      </c>
      <c r="N673" t="s">
        <v>6994</v>
      </c>
      <c r="O673" t="s">
        <v>9273</v>
      </c>
      <c r="P673" t="s">
        <v>9274</v>
      </c>
      <c r="Q673" t="s">
        <v>9275</v>
      </c>
      <c r="R673" t="s">
        <v>74</v>
      </c>
      <c r="S673" t="s">
        <v>74</v>
      </c>
      <c r="T673" t="s">
        <v>9276</v>
      </c>
      <c r="U673" t="s">
        <v>74</v>
      </c>
      <c r="V673" t="s">
        <v>9277</v>
      </c>
      <c r="W673" t="s">
        <v>9278</v>
      </c>
      <c r="X673" t="s">
        <v>9279</v>
      </c>
      <c r="Y673" t="s">
        <v>9280</v>
      </c>
      <c r="Z673" t="s">
        <v>74</v>
      </c>
      <c r="AA673" t="s">
        <v>74</v>
      </c>
      <c r="AB673" t="s">
        <v>9281</v>
      </c>
      <c r="AC673" t="s">
        <v>74</v>
      </c>
      <c r="AD673" t="s">
        <v>74</v>
      </c>
      <c r="AE673" t="s">
        <v>74</v>
      </c>
      <c r="AF673" t="s">
        <v>74</v>
      </c>
      <c r="AG673">
        <v>8</v>
      </c>
      <c r="AH673">
        <v>1</v>
      </c>
      <c r="AI673">
        <v>1</v>
      </c>
      <c r="AJ673">
        <v>0</v>
      </c>
      <c r="AK673">
        <v>0</v>
      </c>
      <c r="AL673" t="s">
        <v>9010</v>
      </c>
      <c r="AM673" t="s">
        <v>9011</v>
      </c>
      <c r="AN673" t="s">
        <v>9012</v>
      </c>
      <c r="AO673" t="s">
        <v>9013</v>
      </c>
      <c r="AP673" t="s">
        <v>74</v>
      </c>
      <c r="AQ673" t="s">
        <v>9282</v>
      </c>
      <c r="AR673" t="s">
        <v>9015</v>
      </c>
      <c r="AS673" t="s">
        <v>74</v>
      </c>
      <c r="AT673" t="s">
        <v>74</v>
      </c>
      <c r="AU673">
        <v>2002</v>
      </c>
      <c r="AV673">
        <v>4835</v>
      </c>
      <c r="AW673" t="s">
        <v>74</v>
      </c>
      <c r="AX673" t="s">
        <v>74</v>
      </c>
      <c r="AY673" t="s">
        <v>74</v>
      </c>
      <c r="AZ673" t="s">
        <v>74</v>
      </c>
      <c r="BA673" t="s">
        <v>74</v>
      </c>
      <c r="BB673">
        <v>192</v>
      </c>
      <c r="BC673">
        <v>202</v>
      </c>
      <c r="BD673" t="s">
        <v>74</v>
      </c>
      <c r="BE673" t="s">
        <v>9283</v>
      </c>
      <c r="BF673" t="str">
        <f>HYPERLINK("http://dx.doi.org/10.1117/12.456704","http://dx.doi.org/10.1117/12.456704")</f>
        <v>http://dx.doi.org/10.1117/12.456704</v>
      </c>
      <c r="BG673" t="s">
        <v>74</v>
      </c>
      <c r="BH673" t="s">
        <v>74</v>
      </c>
      <c r="BI673">
        <v>11</v>
      </c>
      <c r="BJ673" t="s">
        <v>9284</v>
      </c>
      <c r="BK673" t="s">
        <v>7004</v>
      </c>
      <c r="BL673" t="s">
        <v>9284</v>
      </c>
      <c r="BM673" t="s">
        <v>9285</v>
      </c>
      <c r="BN673" t="s">
        <v>74</v>
      </c>
      <c r="BO673" t="s">
        <v>74</v>
      </c>
      <c r="BP673" t="s">
        <v>74</v>
      </c>
      <c r="BQ673" t="s">
        <v>74</v>
      </c>
      <c r="BR673" t="s">
        <v>107</v>
      </c>
      <c r="BS673" t="s">
        <v>9286</v>
      </c>
      <c r="BT673" t="str">
        <f>HYPERLINK("https%3A%2F%2Fwww.webofscience.com%2Fwos%2Fwoscc%2Ffull-record%2FWOS:000180513700021","View Full Record in Web of Science")</f>
        <v>View Full Record in Web of Science</v>
      </c>
    </row>
    <row r="674" spans="1:72" x14ac:dyDescent="0.15">
      <c r="A674" t="s">
        <v>72</v>
      </c>
      <c r="B674" t="s">
        <v>9287</v>
      </c>
      <c r="C674" t="s">
        <v>74</v>
      </c>
      <c r="D674" t="s">
        <v>74</v>
      </c>
      <c r="E674" t="s">
        <v>74</v>
      </c>
      <c r="F674" t="s">
        <v>9287</v>
      </c>
      <c r="G674" t="s">
        <v>74</v>
      </c>
      <c r="H674" t="s">
        <v>74</v>
      </c>
      <c r="I674" t="s">
        <v>9288</v>
      </c>
      <c r="J674" t="s">
        <v>9289</v>
      </c>
      <c r="K674" t="s">
        <v>74</v>
      </c>
      <c r="L674" t="s">
        <v>74</v>
      </c>
      <c r="M674" t="s">
        <v>77</v>
      </c>
      <c r="N674" t="s">
        <v>153</v>
      </c>
      <c r="O674" t="s">
        <v>74</v>
      </c>
      <c r="P674" t="s">
        <v>74</v>
      </c>
      <c r="Q674" t="s">
        <v>74</v>
      </c>
      <c r="R674" t="s">
        <v>74</v>
      </c>
      <c r="S674" t="s">
        <v>74</v>
      </c>
      <c r="T674" t="s">
        <v>74</v>
      </c>
      <c r="U674" t="s">
        <v>9290</v>
      </c>
      <c r="V674" t="s">
        <v>9291</v>
      </c>
      <c r="W674" t="s">
        <v>9292</v>
      </c>
      <c r="X674" t="s">
        <v>9293</v>
      </c>
      <c r="Y674" t="s">
        <v>9294</v>
      </c>
      <c r="Z674" t="s">
        <v>9295</v>
      </c>
      <c r="AA674" t="s">
        <v>74</v>
      </c>
      <c r="AB674" t="s">
        <v>74</v>
      </c>
      <c r="AC674" t="s">
        <v>74</v>
      </c>
      <c r="AD674" t="s">
        <v>74</v>
      </c>
      <c r="AE674" t="s">
        <v>74</v>
      </c>
      <c r="AF674" t="s">
        <v>74</v>
      </c>
      <c r="AG674">
        <v>21</v>
      </c>
      <c r="AH674">
        <v>7</v>
      </c>
      <c r="AI674">
        <v>7</v>
      </c>
      <c r="AJ674">
        <v>0</v>
      </c>
      <c r="AK674">
        <v>2</v>
      </c>
      <c r="AL674" t="s">
        <v>453</v>
      </c>
      <c r="AM674" t="s">
        <v>454</v>
      </c>
      <c r="AN674" t="s">
        <v>455</v>
      </c>
      <c r="AO674" t="s">
        <v>9296</v>
      </c>
      <c r="AP674" t="s">
        <v>9297</v>
      </c>
      <c r="AQ674" t="s">
        <v>74</v>
      </c>
      <c r="AR674" t="s">
        <v>9298</v>
      </c>
      <c r="AS674" t="s">
        <v>9299</v>
      </c>
      <c r="AT674" t="s">
        <v>74</v>
      </c>
      <c r="AU674">
        <v>2002</v>
      </c>
      <c r="AV674" t="s">
        <v>9300</v>
      </c>
      <c r="AW674">
        <v>1</v>
      </c>
      <c r="AX674" t="s">
        <v>74</v>
      </c>
      <c r="AY674" t="s">
        <v>74</v>
      </c>
      <c r="AZ674" t="s">
        <v>74</v>
      </c>
      <c r="BA674" t="s">
        <v>74</v>
      </c>
      <c r="BB674">
        <v>11</v>
      </c>
      <c r="BC674">
        <v>24</v>
      </c>
      <c r="BD674" t="s">
        <v>74</v>
      </c>
      <c r="BE674" t="s">
        <v>9301</v>
      </c>
      <c r="BF674" t="str">
        <f>HYPERLINK("http://dx.doi.org/10.1111/j.0435-3676.2002.00158.x","http://dx.doi.org/10.1111/j.0435-3676.2002.00158.x")</f>
        <v>http://dx.doi.org/10.1111/j.0435-3676.2002.00158.x</v>
      </c>
      <c r="BG674" t="s">
        <v>74</v>
      </c>
      <c r="BH674" t="s">
        <v>74</v>
      </c>
      <c r="BI674">
        <v>14</v>
      </c>
      <c r="BJ674" t="s">
        <v>223</v>
      </c>
      <c r="BK674" t="s">
        <v>170</v>
      </c>
      <c r="BL674" t="s">
        <v>224</v>
      </c>
      <c r="BM674" t="s">
        <v>9302</v>
      </c>
      <c r="BN674" t="s">
        <v>74</v>
      </c>
      <c r="BO674" t="s">
        <v>74</v>
      </c>
      <c r="BP674" t="s">
        <v>74</v>
      </c>
      <c r="BQ674" t="s">
        <v>74</v>
      </c>
      <c r="BR674" t="s">
        <v>107</v>
      </c>
      <c r="BS674" t="s">
        <v>9303</v>
      </c>
      <c r="BT674" t="str">
        <f>HYPERLINK("https%3A%2F%2Fwww.webofscience.com%2Fwos%2Fwoscc%2Ffull-record%2FWOS:000175956400002","View Full Record in Web of Science")</f>
        <v>View Full Record in Web of Science</v>
      </c>
    </row>
    <row r="675" spans="1:72" x14ac:dyDescent="0.15">
      <c r="A675" t="s">
        <v>72</v>
      </c>
      <c r="B675" t="s">
        <v>9304</v>
      </c>
      <c r="C675" t="s">
        <v>74</v>
      </c>
      <c r="D675" t="s">
        <v>74</v>
      </c>
      <c r="E675" t="s">
        <v>74</v>
      </c>
      <c r="F675" t="s">
        <v>9304</v>
      </c>
      <c r="G675" t="s">
        <v>74</v>
      </c>
      <c r="H675" t="s">
        <v>74</v>
      </c>
      <c r="I675" t="s">
        <v>9305</v>
      </c>
      <c r="J675" t="s">
        <v>2535</v>
      </c>
      <c r="K675" t="s">
        <v>74</v>
      </c>
      <c r="L675" t="s">
        <v>74</v>
      </c>
      <c r="M675" t="s">
        <v>77</v>
      </c>
      <c r="N675" t="s">
        <v>153</v>
      </c>
      <c r="O675" t="s">
        <v>74</v>
      </c>
      <c r="P675" t="s">
        <v>74</v>
      </c>
      <c r="Q675" t="s">
        <v>74</v>
      </c>
      <c r="R675" t="s">
        <v>74</v>
      </c>
      <c r="S675" t="s">
        <v>74</v>
      </c>
      <c r="T675" t="s">
        <v>74</v>
      </c>
      <c r="U675" t="s">
        <v>74</v>
      </c>
      <c r="V675" t="s">
        <v>9306</v>
      </c>
      <c r="W675" t="s">
        <v>9307</v>
      </c>
      <c r="X675" t="s">
        <v>9308</v>
      </c>
      <c r="Y675" t="s">
        <v>9309</v>
      </c>
      <c r="Z675" t="s">
        <v>74</v>
      </c>
      <c r="AA675" t="s">
        <v>74</v>
      </c>
      <c r="AB675" t="s">
        <v>74</v>
      </c>
      <c r="AC675" t="s">
        <v>74</v>
      </c>
      <c r="AD675" t="s">
        <v>74</v>
      </c>
      <c r="AE675" t="s">
        <v>74</v>
      </c>
      <c r="AF675" t="s">
        <v>74</v>
      </c>
      <c r="AG675">
        <v>15</v>
      </c>
      <c r="AH675">
        <v>0</v>
      </c>
      <c r="AI675">
        <v>0</v>
      </c>
      <c r="AJ675">
        <v>0</v>
      </c>
      <c r="AK675">
        <v>1</v>
      </c>
      <c r="AL675" t="s">
        <v>1179</v>
      </c>
      <c r="AM675" t="s">
        <v>1180</v>
      </c>
      <c r="AN675" t="s">
        <v>1181</v>
      </c>
      <c r="AO675" t="s">
        <v>2541</v>
      </c>
      <c r="AP675" t="s">
        <v>74</v>
      </c>
      <c r="AQ675" t="s">
        <v>74</v>
      </c>
      <c r="AR675" t="s">
        <v>2542</v>
      </c>
      <c r="AS675" t="s">
        <v>2543</v>
      </c>
      <c r="AT675" t="s">
        <v>7731</v>
      </c>
      <c r="AU675">
        <v>2002</v>
      </c>
      <c r="AV675">
        <v>42</v>
      </c>
      <c r="AW675">
        <v>1</v>
      </c>
      <c r="AX675" t="s">
        <v>74</v>
      </c>
      <c r="AY675" t="s">
        <v>74</v>
      </c>
      <c r="AZ675" t="s">
        <v>74</v>
      </c>
      <c r="BA675" t="s">
        <v>74</v>
      </c>
      <c r="BB675">
        <v>62</v>
      </c>
      <c r="BC675">
        <v>69</v>
      </c>
      <c r="BD675" t="s">
        <v>74</v>
      </c>
      <c r="BE675" t="s">
        <v>74</v>
      </c>
      <c r="BF675" t="s">
        <v>74</v>
      </c>
      <c r="BG675" t="s">
        <v>74</v>
      </c>
      <c r="BH675" t="s">
        <v>74</v>
      </c>
      <c r="BI675">
        <v>8</v>
      </c>
      <c r="BJ675" t="s">
        <v>556</v>
      </c>
      <c r="BK675" t="s">
        <v>170</v>
      </c>
      <c r="BL675" t="s">
        <v>556</v>
      </c>
      <c r="BM675" t="s">
        <v>9310</v>
      </c>
      <c r="BN675" t="s">
        <v>74</v>
      </c>
      <c r="BO675" t="s">
        <v>74</v>
      </c>
      <c r="BP675" t="s">
        <v>74</v>
      </c>
      <c r="BQ675" t="s">
        <v>74</v>
      </c>
      <c r="BR675" t="s">
        <v>107</v>
      </c>
      <c r="BS675" t="s">
        <v>9311</v>
      </c>
      <c r="BT675" t="str">
        <f>HYPERLINK("https%3A%2F%2Fwww.webofscience.com%2Fwos%2Fwoscc%2Ffull-record%2FWOS:000174394000010","View Full Record in Web of Science")</f>
        <v>View Full Record in Web of Science</v>
      </c>
    </row>
    <row r="676" spans="1:72" x14ac:dyDescent="0.15">
      <c r="A676" t="s">
        <v>72</v>
      </c>
      <c r="B676" t="s">
        <v>9312</v>
      </c>
      <c r="C676" t="s">
        <v>74</v>
      </c>
      <c r="D676" t="s">
        <v>74</v>
      </c>
      <c r="E676" t="s">
        <v>74</v>
      </c>
      <c r="F676" t="s">
        <v>9312</v>
      </c>
      <c r="G676" t="s">
        <v>74</v>
      </c>
      <c r="H676" t="s">
        <v>74</v>
      </c>
      <c r="I676" t="s">
        <v>9313</v>
      </c>
      <c r="J676" t="s">
        <v>3939</v>
      </c>
      <c r="K676" t="s">
        <v>74</v>
      </c>
      <c r="L676" t="s">
        <v>74</v>
      </c>
      <c r="M676" t="s">
        <v>77</v>
      </c>
      <c r="N676" t="s">
        <v>153</v>
      </c>
      <c r="O676" t="s">
        <v>74</v>
      </c>
      <c r="P676" t="s">
        <v>74</v>
      </c>
      <c r="Q676" t="s">
        <v>74</v>
      </c>
      <c r="R676" t="s">
        <v>74</v>
      </c>
      <c r="S676" t="s">
        <v>74</v>
      </c>
      <c r="T676" t="s">
        <v>9314</v>
      </c>
      <c r="U676" t="s">
        <v>9315</v>
      </c>
      <c r="V676" t="s">
        <v>9316</v>
      </c>
      <c r="W676" t="s">
        <v>9317</v>
      </c>
      <c r="X676" t="s">
        <v>9318</v>
      </c>
      <c r="Y676" t="s">
        <v>9319</v>
      </c>
      <c r="Z676" t="s">
        <v>74</v>
      </c>
      <c r="AA676" t="s">
        <v>9320</v>
      </c>
      <c r="AB676" t="s">
        <v>9321</v>
      </c>
      <c r="AC676" t="s">
        <v>74</v>
      </c>
      <c r="AD676" t="s">
        <v>74</v>
      </c>
      <c r="AE676" t="s">
        <v>74</v>
      </c>
      <c r="AF676" t="s">
        <v>74</v>
      </c>
      <c r="AG676">
        <v>67</v>
      </c>
      <c r="AH676">
        <v>37</v>
      </c>
      <c r="AI676">
        <v>48</v>
      </c>
      <c r="AJ676">
        <v>0</v>
      </c>
      <c r="AK676">
        <v>4</v>
      </c>
      <c r="AL676" t="s">
        <v>2455</v>
      </c>
      <c r="AM676" t="s">
        <v>895</v>
      </c>
      <c r="AN676" t="s">
        <v>2456</v>
      </c>
      <c r="AO676" t="s">
        <v>3948</v>
      </c>
      <c r="AP676" t="s">
        <v>74</v>
      </c>
      <c r="AQ676" t="s">
        <v>74</v>
      </c>
      <c r="AR676" t="s">
        <v>3950</v>
      </c>
      <c r="AS676" t="s">
        <v>3951</v>
      </c>
      <c r="AT676" t="s">
        <v>7127</v>
      </c>
      <c r="AU676">
        <v>2002</v>
      </c>
      <c r="AV676">
        <v>148</v>
      </c>
      <c r="AW676">
        <v>1</v>
      </c>
      <c r="AX676" t="s">
        <v>74</v>
      </c>
      <c r="AY676" t="s">
        <v>74</v>
      </c>
      <c r="AZ676" t="s">
        <v>74</v>
      </c>
      <c r="BA676" t="s">
        <v>74</v>
      </c>
      <c r="BB676">
        <v>103</v>
      </c>
      <c r="BC676">
        <v>119</v>
      </c>
      <c r="BD676" t="s">
        <v>74</v>
      </c>
      <c r="BE676" t="s">
        <v>9322</v>
      </c>
      <c r="BF676" t="str">
        <f>HYPERLINK("http://dx.doi.org/10.1046/j.0956-540x.2001.01576.x","http://dx.doi.org/10.1046/j.0956-540x.2001.01576.x")</f>
        <v>http://dx.doi.org/10.1046/j.0956-540x.2001.01576.x</v>
      </c>
      <c r="BG676" t="s">
        <v>74</v>
      </c>
      <c r="BH676" t="s">
        <v>74</v>
      </c>
      <c r="BI676">
        <v>17</v>
      </c>
      <c r="BJ676" t="s">
        <v>556</v>
      </c>
      <c r="BK676" t="s">
        <v>170</v>
      </c>
      <c r="BL676" t="s">
        <v>556</v>
      </c>
      <c r="BM676" t="s">
        <v>9323</v>
      </c>
      <c r="BN676" t="s">
        <v>74</v>
      </c>
      <c r="BO676" t="s">
        <v>173</v>
      </c>
      <c r="BP676" t="s">
        <v>74</v>
      </c>
      <c r="BQ676" t="s">
        <v>74</v>
      </c>
      <c r="BR676" t="s">
        <v>107</v>
      </c>
      <c r="BS676" t="s">
        <v>9324</v>
      </c>
      <c r="BT676" t="str">
        <f>HYPERLINK("https%3A%2F%2Fwww.webofscience.com%2Fwos%2Fwoscc%2Ffull-record%2FWOS:000173474500007","View Full Record in Web of Science")</f>
        <v>View Full Record in Web of Science</v>
      </c>
    </row>
    <row r="677" spans="1:72" x14ac:dyDescent="0.15">
      <c r="A677" t="s">
        <v>72</v>
      </c>
      <c r="B677" t="s">
        <v>9325</v>
      </c>
      <c r="C677" t="s">
        <v>74</v>
      </c>
      <c r="D677" t="s">
        <v>74</v>
      </c>
      <c r="E677" t="s">
        <v>74</v>
      </c>
      <c r="F677" t="s">
        <v>9325</v>
      </c>
      <c r="G677" t="s">
        <v>74</v>
      </c>
      <c r="H677" t="s">
        <v>74</v>
      </c>
      <c r="I677" t="s">
        <v>9326</v>
      </c>
      <c r="J677" t="s">
        <v>594</v>
      </c>
      <c r="K677" t="s">
        <v>74</v>
      </c>
      <c r="L677" t="s">
        <v>74</v>
      </c>
      <c r="M677" t="s">
        <v>77</v>
      </c>
      <c r="N677" t="s">
        <v>153</v>
      </c>
      <c r="O677" t="s">
        <v>74</v>
      </c>
      <c r="P677" t="s">
        <v>74</v>
      </c>
      <c r="Q677" t="s">
        <v>74</v>
      </c>
      <c r="R677" t="s">
        <v>74</v>
      </c>
      <c r="S677" t="s">
        <v>74</v>
      </c>
      <c r="T677" t="s">
        <v>74</v>
      </c>
      <c r="U677" t="s">
        <v>9327</v>
      </c>
      <c r="V677" t="s">
        <v>9328</v>
      </c>
      <c r="W677" t="s">
        <v>9329</v>
      </c>
      <c r="X677" t="s">
        <v>9330</v>
      </c>
      <c r="Y677" t="s">
        <v>9331</v>
      </c>
      <c r="Z677" t="s">
        <v>9332</v>
      </c>
      <c r="AA677" t="s">
        <v>74</v>
      </c>
      <c r="AB677" t="s">
        <v>74</v>
      </c>
      <c r="AC677" t="s">
        <v>74</v>
      </c>
      <c r="AD677" t="s">
        <v>74</v>
      </c>
      <c r="AE677" t="s">
        <v>74</v>
      </c>
      <c r="AF677" t="s">
        <v>74</v>
      </c>
      <c r="AG677">
        <v>10</v>
      </c>
      <c r="AH677">
        <v>11</v>
      </c>
      <c r="AI677">
        <v>12</v>
      </c>
      <c r="AJ677">
        <v>1</v>
      </c>
      <c r="AK677">
        <v>7</v>
      </c>
      <c r="AL677" t="s">
        <v>161</v>
      </c>
      <c r="AM677" t="s">
        <v>162</v>
      </c>
      <c r="AN677" t="s">
        <v>163</v>
      </c>
      <c r="AO677" t="s">
        <v>602</v>
      </c>
      <c r="AP677" t="s">
        <v>603</v>
      </c>
      <c r="AQ677" t="s">
        <v>74</v>
      </c>
      <c r="AR677" t="s">
        <v>604</v>
      </c>
      <c r="AS677" t="s">
        <v>605</v>
      </c>
      <c r="AT677" t="s">
        <v>9117</v>
      </c>
      <c r="AU677">
        <v>2002</v>
      </c>
      <c r="AV677">
        <v>29</v>
      </c>
      <c r="AW677">
        <v>1</v>
      </c>
      <c r="AX677" t="s">
        <v>74</v>
      </c>
      <c r="AY677" t="s">
        <v>74</v>
      </c>
      <c r="AZ677" t="s">
        <v>74</v>
      </c>
      <c r="BA677" t="s">
        <v>74</v>
      </c>
      <c r="BB677" t="s">
        <v>74</v>
      </c>
      <c r="BC677" t="s">
        <v>74</v>
      </c>
      <c r="BD677">
        <v>1001</v>
      </c>
      <c r="BE677" t="s">
        <v>9333</v>
      </c>
      <c r="BF677" t="str">
        <f>HYPERLINK("http://dx.doi.org/10.1029/2000GL012815","http://dx.doi.org/10.1029/2000GL012815")</f>
        <v>http://dx.doi.org/10.1029/2000GL012815</v>
      </c>
      <c r="BG677" t="s">
        <v>74</v>
      </c>
      <c r="BH677" t="s">
        <v>74</v>
      </c>
      <c r="BI677">
        <v>4</v>
      </c>
      <c r="BJ677" t="s">
        <v>608</v>
      </c>
      <c r="BK677" t="s">
        <v>170</v>
      </c>
      <c r="BL677" t="s">
        <v>439</v>
      </c>
      <c r="BM677" t="s">
        <v>9334</v>
      </c>
      <c r="BN677" t="s">
        <v>74</v>
      </c>
      <c r="BO677" t="s">
        <v>74</v>
      </c>
      <c r="BP677" t="s">
        <v>74</v>
      </c>
      <c r="BQ677" t="s">
        <v>74</v>
      </c>
      <c r="BR677" t="s">
        <v>107</v>
      </c>
      <c r="BS677" t="s">
        <v>9335</v>
      </c>
      <c r="BT677" t="str">
        <f>HYPERLINK("https%3A%2F%2Fwww.webofscience.com%2Fwos%2Fwoscc%2Ffull-record%2FWOS:000178884200013","View Full Record in Web of Science")</f>
        <v>View Full Record in Web of Science</v>
      </c>
    </row>
    <row r="678" spans="1:72" x14ac:dyDescent="0.15">
      <c r="A678" t="s">
        <v>72</v>
      </c>
      <c r="B678" t="s">
        <v>9336</v>
      </c>
      <c r="C678" t="s">
        <v>74</v>
      </c>
      <c r="D678" t="s">
        <v>74</v>
      </c>
      <c r="E678" t="s">
        <v>74</v>
      </c>
      <c r="F678" t="s">
        <v>9336</v>
      </c>
      <c r="G678" t="s">
        <v>74</v>
      </c>
      <c r="H678" t="s">
        <v>74</v>
      </c>
      <c r="I678" t="s">
        <v>9337</v>
      </c>
      <c r="J678" t="s">
        <v>594</v>
      </c>
      <c r="K678" t="s">
        <v>74</v>
      </c>
      <c r="L678" t="s">
        <v>74</v>
      </c>
      <c r="M678" t="s">
        <v>77</v>
      </c>
      <c r="N678" t="s">
        <v>153</v>
      </c>
      <c r="O678" t="s">
        <v>74</v>
      </c>
      <c r="P678" t="s">
        <v>74</v>
      </c>
      <c r="Q678" t="s">
        <v>74</v>
      </c>
      <c r="R678" t="s">
        <v>74</v>
      </c>
      <c r="S678" t="s">
        <v>74</v>
      </c>
      <c r="T678" t="s">
        <v>74</v>
      </c>
      <c r="U678" t="s">
        <v>9338</v>
      </c>
      <c r="V678" t="s">
        <v>9339</v>
      </c>
      <c r="W678" t="s">
        <v>9340</v>
      </c>
      <c r="X678" t="s">
        <v>9341</v>
      </c>
      <c r="Y678" t="s">
        <v>9342</v>
      </c>
      <c r="Z678" t="s">
        <v>74</v>
      </c>
      <c r="AA678" t="s">
        <v>9343</v>
      </c>
      <c r="AB678" t="s">
        <v>9344</v>
      </c>
      <c r="AC678" t="s">
        <v>74</v>
      </c>
      <c r="AD678" t="s">
        <v>74</v>
      </c>
      <c r="AE678" t="s">
        <v>74</v>
      </c>
      <c r="AF678" t="s">
        <v>74</v>
      </c>
      <c r="AG678">
        <v>13</v>
      </c>
      <c r="AH678">
        <v>23</v>
      </c>
      <c r="AI678">
        <v>26</v>
      </c>
      <c r="AJ678">
        <v>1</v>
      </c>
      <c r="AK678">
        <v>9</v>
      </c>
      <c r="AL678" t="s">
        <v>161</v>
      </c>
      <c r="AM678" t="s">
        <v>162</v>
      </c>
      <c r="AN678" t="s">
        <v>163</v>
      </c>
      <c r="AO678" t="s">
        <v>602</v>
      </c>
      <c r="AP678" t="s">
        <v>74</v>
      </c>
      <c r="AQ678" t="s">
        <v>74</v>
      </c>
      <c r="AR678" t="s">
        <v>604</v>
      </c>
      <c r="AS678" t="s">
        <v>605</v>
      </c>
      <c r="AT678" t="s">
        <v>9117</v>
      </c>
      <c r="AU678">
        <v>2002</v>
      </c>
      <c r="AV678">
        <v>29</v>
      </c>
      <c r="AW678">
        <v>1</v>
      </c>
      <c r="AX678" t="s">
        <v>74</v>
      </c>
      <c r="AY678" t="s">
        <v>74</v>
      </c>
      <c r="AZ678" t="s">
        <v>74</v>
      </c>
      <c r="BA678" t="s">
        <v>74</v>
      </c>
      <c r="BB678" t="s">
        <v>74</v>
      </c>
      <c r="BC678" t="s">
        <v>74</v>
      </c>
      <c r="BD678">
        <v>1011</v>
      </c>
      <c r="BE678" t="s">
        <v>9345</v>
      </c>
      <c r="BF678" t="str">
        <f>HYPERLINK("http://dx.doi.org/10.1029/2001GL013240","http://dx.doi.org/10.1029/2001GL013240")</f>
        <v>http://dx.doi.org/10.1029/2001GL013240</v>
      </c>
      <c r="BG678" t="s">
        <v>74</v>
      </c>
      <c r="BH678" t="s">
        <v>74</v>
      </c>
      <c r="BI678">
        <v>3</v>
      </c>
      <c r="BJ678" t="s">
        <v>608</v>
      </c>
      <c r="BK678" t="s">
        <v>170</v>
      </c>
      <c r="BL678" t="s">
        <v>439</v>
      </c>
      <c r="BM678" t="s">
        <v>9334</v>
      </c>
      <c r="BN678" t="s">
        <v>74</v>
      </c>
      <c r="BO678" t="s">
        <v>74</v>
      </c>
      <c r="BP678" t="s">
        <v>74</v>
      </c>
      <c r="BQ678" t="s">
        <v>74</v>
      </c>
      <c r="BR678" t="s">
        <v>107</v>
      </c>
      <c r="BS678" t="s">
        <v>9346</v>
      </c>
      <c r="BT678" t="str">
        <f>HYPERLINK("https%3A%2F%2Fwww.webofscience.com%2Fwos%2Fwoscc%2Ffull-record%2FWOS:000178884200003","View Full Record in Web of Science")</f>
        <v>View Full Record in Web of Science</v>
      </c>
    </row>
    <row r="679" spans="1:72" x14ac:dyDescent="0.15">
      <c r="A679" t="s">
        <v>72</v>
      </c>
      <c r="B679" t="s">
        <v>9347</v>
      </c>
      <c r="C679" t="s">
        <v>74</v>
      </c>
      <c r="D679" t="s">
        <v>74</v>
      </c>
      <c r="E679" t="s">
        <v>74</v>
      </c>
      <c r="F679" t="s">
        <v>9347</v>
      </c>
      <c r="G679" t="s">
        <v>74</v>
      </c>
      <c r="H679" t="s">
        <v>74</v>
      </c>
      <c r="I679" t="s">
        <v>9348</v>
      </c>
      <c r="J679" t="s">
        <v>594</v>
      </c>
      <c r="K679" t="s">
        <v>74</v>
      </c>
      <c r="L679" t="s">
        <v>74</v>
      </c>
      <c r="M679" t="s">
        <v>77</v>
      </c>
      <c r="N679" t="s">
        <v>153</v>
      </c>
      <c r="O679" t="s">
        <v>74</v>
      </c>
      <c r="P679" t="s">
        <v>74</v>
      </c>
      <c r="Q679" t="s">
        <v>74</v>
      </c>
      <c r="R679" t="s">
        <v>74</v>
      </c>
      <c r="S679" t="s">
        <v>74</v>
      </c>
      <c r="T679" t="s">
        <v>74</v>
      </c>
      <c r="U679" t="s">
        <v>9349</v>
      </c>
      <c r="V679" t="s">
        <v>9350</v>
      </c>
      <c r="W679" t="s">
        <v>851</v>
      </c>
      <c r="X679" t="s">
        <v>852</v>
      </c>
      <c r="Y679" t="s">
        <v>9351</v>
      </c>
      <c r="Z679" t="s">
        <v>74</v>
      </c>
      <c r="AA679" t="s">
        <v>9352</v>
      </c>
      <c r="AB679" t="s">
        <v>9353</v>
      </c>
      <c r="AC679" t="s">
        <v>74</v>
      </c>
      <c r="AD679" t="s">
        <v>74</v>
      </c>
      <c r="AE679" t="s">
        <v>74</v>
      </c>
      <c r="AF679" t="s">
        <v>74</v>
      </c>
      <c r="AG679">
        <v>18</v>
      </c>
      <c r="AH679">
        <v>45</v>
      </c>
      <c r="AI679">
        <v>48</v>
      </c>
      <c r="AJ679">
        <v>0</v>
      </c>
      <c r="AK679">
        <v>2</v>
      </c>
      <c r="AL679" t="s">
        <v>161</v>
      </c>
      <c r="AM679" t="s">
        <v>162</v>
      </c>
      <c r="AN679" t="s">
        <v>163</v>
      </c>
      <c r="AO679" t="s">
        <v>602</v>
      </c>
      <c r="AP679" t="s">
        <v>74</v>
      </c>
      <c r="AQ679" t="s">
        <v>74</v>
      </c>
      <c r="AR679" t="s">
        <v>604</v>
      </c>
      <c r="AS679" t="s">
        <v>605</v>
      </c>
      <c r="AT679" t="s">
        <v>9117</v>
      </c>
      <c r="AU679">
        <v>2002</v>
      </c>
      <c r="AV679">
        <v>29</v>
      </c>
      <c r="AW679">
        <v>1</v>
      </c>
      <c r="AX679" t="s">
        <v>74</v>
      </c>
      <c r="AY679" t="s">
        <v>74</v>
      </c>
      <c r="AZ679" t="s">
        <v>74</v>
      </c>
      <c r="BA679" t="s">
        <v>74</v>
      </c>
      <c r="BB679" t="s">
        <v>74</v>
      </c>
      <c r="BC679" t="s">
        <v>74</v>
      </c>
      <c r="BD679">
        <v>1004</v>
      </c>
      <c r="BE679" t="s">
        <v>9354</v>
      </c>
      <c r="BF679" t="str">
        <f>HYPERLINK("http://dx.doi.org/10.1029/2001GL013451","http://dx.doi.org/10.1029/2001GL013451")</f>
        <v>http://dx.doi.org/10.1029/2001GL013451</v>
      </c>
      <c r="BG679" t="s">
        <v>74</v>
      </c>
      <c r="BH679" t="s">
        <v>74</v>
      </c>
      <c r="BI679">
        <v>4</v>
      </c>
      <c r="BJ679" t="s">
        <v>608</v>
      </c>
      <c r="BK679" t="s">
        <v>170</v>
      </c>
      <c r="BL679" t="s">
        <v>439</v>
      </c>
      <c r="BM679" t="s">
        <v>9334</v>
      </c>
      <c r="BN679" t="s">
        <v>74</v>
      </c>
      <c r="BO679" t="s">
        <v>173</v>
      </c>
      <c r="BP679" t="s">
        <v>74</v>
      </c>
      <c r="BQ679" t="s">
        <v>74</v>
      </c>
      <c r="BR679" t="s">
        <v>107</v>
      </c>
      <c r="BS679" t="s">
        <v>9355</v>
      </c>
      <c r="BT679" t="str">
        <f>HYPERLINK("https%3A%2F%2Fwww.webofscience.com%2Fwos%2Fwoscc%2Ffull-record%2FWOS:000178884200010","View Full Record in Web of Science")</f>
        <v>View Full Record in Web of Science</v>
      </c>
    </row>
    <row r="680" spans="1:72" x14ac:dyDescent="0.15">
      <c r="A680" t="s">
        <v>6989</v>
      </c>
      <c r="B680" t="s">
        <v>9356</v>
      </c>
      <c r="C680" t="s">
        <v>74</v>
      </c>
      <c r="D680" t="s">
        <v>9357</v>
      </c>
      <c r="E680" t="s">
        <v>74</v>
      </c>
      <c r="F680" t="s">
        <v>9356</v>
      </c>
      <c r="G680" t="s">
        <v>74</v>
      </c>
      <c r="H680" t="s">
        <v>74</v>
      </c>
      <c r="I680" t="s">
        <v>9358</v>
      </c>
      <c r="J680" t="s">
        <v>9359</v>
      </c>
      <c r="K680" t="s">
        <v>9360</v>
      </c>
      <c r="L680" t="s">
        <v>74</v>
      </c>
      <c r="M680" t="s">
        <v>77</v>
      </c>
      <c r="N680" t="s">
        <v>6994</v>
      </c>
      <c r="O680" t="s">
        <v>9361</v>
      </c>
      <c r="P680">
        <v>2001</v>
      </c>
      <c r="Q680" t="s">
        <v>9362</v>
      </c>
      <c r="R680" t="s">
        <v>74</v>
      </c>
      <c r="S680" t="s">
        <v>9363</v>
      </c>
      <c r="T680" t="s">
        <v>74</v>
      </c>
      <c r="U680" t="s">
        <v>9364</v>
      </c>
      <c r="V680" t="s">
        <v>9365</v>
      </c>
      <c r="W680" t="s">
        <v>9366</v>
      </c>
      <c r="X680" t="s">
        <v>9367</v>
      </c>
      <c r="Y680" t="s">
        <v>9368</v>
      </c>
      <c r="Z680" t="s">
        <v>9369</v>
      </c>
      <c r="AA680" t="s">
        <v>74</v>
      </c>
      <c r="AB680" t="s">
        <v>74</v>
      </c>
      <c r="AC680" t="s">
        <v>74</v>
      </c>
      <c r="AD680" t="s">
        <v>74</v>
      </c>
      <c r="AE680" t="s">
        <v>74</v>
      </c>
      <c r="AF680" t="s">
        <v>74</v>
      </c>
      <c r="AG680">
        <v>76</v>
      </c>
      <c r="AH680">
        <v>33</v>
      </c>
      <c r="AI680">
        <v>34</v>
      </c>
      <c r="AJ680">
        <v>0</v>
      </c>
      <c r="AK680">
        <v>5</v>
      </c>
      <c r="AL680" t="s">
        <v>9370</v>
      </c>
      <c r="AM680" t="s">
        <v>2867</v>
      </c>
      <c r="AN680" t="s">
        <v>9371</v>
      </c>
      <c r="AO680" t="s">
        <v>9372</v>
      </c>
      <c r="AP680" t="s">
        <v>74</v>
      </c>
      <c r="AQ680" t="s">
        <v>9373</v>
      </c>
      <c r="AR680" t="s">
        <v>9374</v>
      </c>
      <c r="AS680" t="s">
        <v>9375</v>
      </c>
      <c r="AT680" t="s">
        <v>74</v>
      </c>
      <c r="AU680">
        <v>2002</v>
      </c>
      <c r="AV680">
        <v>203</v>
      </c>
      <c r="AW680" t="s">
        <v>74</v>
      </c>
      <c r="AX680" t="s">
        <v>74</v>
      </c>
      <c r="AY680" t="s">
        <v>74</v>
      </c>
      <c r="AZ680" t="s">
        <v>74</v>
      </c>
      <c r="BA680" t="s">
        <v>74</v>
      </c>
      <c r="BB680">
        <v>105</v>
      </c>
      <c r="BC680">
        <v>128</v>
      </c>
      <c r="BD680" t="s">
        <v>74</v>
      </c>
      <c r="BE680" t="s">
        <v>9376</v>
      </c>
      <c r="BF680" t="str">
        <f>HYPERLINK("http://dx.doi.org/10.1144/GSL.SP.2002.203.01.07","http://dx.doi.org/10.1144/GSL.SP.2002.203.01.07")</f>
        <v>http://dx.doi.org/10.1144/GSL.SP.2002.203.01.07</v>
      </c>
      <c r="BG680" t="s">
        <v>74</v>
      </c>
      <c r="BH680" t="s">
        <v>74</v>
      </c>
      <c r="BI680">
        <v>24</v>
      </c>
      <c r="BJ680" t="s">
        <v>7976</v>
      </c>
      <c r="BK680" t="s">
        <v>7004</v>
      </c>
      <c r="BL680" t="s">
        <v>7976</v>
      </c>
      <c r="BM680" t="s">
        <v>9377</v>
      </c>
      <c r="BN680" t="s">
        <v>74</v>
      </c>
      <c r="BO680" t="s">
        <v>74</v>
      </c>
      <c r="BP680" t="s">
        <v>74</v>
      </c>
      <c r="BQ680" t="s">
        <v>74</v>
      </c>
      <c r="BR680" t="s">
        <v>107</v>
      </c>
      <c r="BS680" t="s">
        <v>9378</v>
      </c>
      <c r="BT680" t="str">
        <f>HYPERLINK("https%3A%2F%2Fwww.webofscience.com%2Fwos%2Fwoscc%2Ffull-record%2FWOS:000184435800007","View Full Record in Web of Science")</f>
        <v>View Full Record in Web of Science</v>
      </c>
    </row>
    <row r="681" spans="1:72" x14ac:dyDescent="0.15">
      <c r="A681" t="s">
        <v>6989</v>
      </c>
      <c r="B681" t="s">
        <v>9379</v>
      </c>
      <c r="C681" t="s">
        <v>74</v>
      </c>
      <c r="D681" t="s">
        <v>9357</v>
      </c>
      <c r="E681" t="s">
        <v>74</v>
      </c>
      <c r="F681" t="s">
        <v>9379</v>
      </c>
      <c r="G681" t="s">
        <v>74</v>
      </c>
      <c r="H681" t="s">
        <v>74</v>
      </c>
      <c r="I681" t="s">
        <v>9380</v>
      </c>
      <c r="J681" t="s">
        <v>9359</v>
      </c>
      <c r="K681" t="s">
        <v>9360</v>
      </c>
      <c r="L681" t="s">
        <v>74</v>
      </c>
      <c r="M681" t="s">
        <v>77</v>
      </c>
      <c r="N681" t="s">
        <v>6994</v>
      </c>
      <c r="O681" t="s">
        <v>9361</v>
      </c>
      <c r="P681">
        <v>2001</v>
      </c>
      <c r="Q681" t="s">
        <v>9362</v>
      </c>
      <c r="R681" t="s">
        <v>74</v>
      </c>
      <c r="S681" t="s">
        <v>9363</v>
      </c>
      <c r="T681" t="s">
        <v>74</v>
      </c>
      <c r="U681" t="s">
        <v>9381</v>
      </c>
      <c r="V681" t="s">
        <v>9382</v>
      </c>
      <c r="W681" t="s">
        <v>9383</v>
      </c>
      <c r="X681" t="s">
        <v>852</v>
      </c>
      <c r="Y681" t="s">
        <v>9384</v>
      </c>
      <c r="Z681" t="s">
        <v>74</v>
      </c>
      <c r="AA681" t="s">
        <v>2865</v>
      </c>
      <c r="AB681" t="s">
        <v>9385</v>
      </c>
      <c r="AC681" t="s">
        <v>74</v>
      </c>
      <c r="AD681" t="s">
        <v>74</v>
      </c>
      <c r="AE681" t="s">
        <v>74</v>
      </c>
      <c r="AF681" t="s">
        <v>74</v>
      </c>
      <c r="AG681">
        <v>86</v>
      </c>
      <c r="AH681">
        <v>86</v>
      </c>
      <c r="AI681">
        <v>88</v>
      </c>
      <c r="AJ681">
        <v>0</v>
      </c>
      <c r="AK681">
        <v>5</v>
      </c>
      <c r="AL681" t="s">
        <v>9370</v>
      </c>
      <c r="AM681" t="s">
        <v>2867</v>
      </c>
      <c r="AN681" t="s">
        <v>9371</v>
      </c>
      <c r="AO681" t="s">
        <v>9372</v>
      </c>
      <c r="AP681" t="s">
        <v>74</v>
      </c>
      <c r="AQ681" t="s">
        <v>9373</v>
      </c>
      <c r="AR681" t="s">
        <v>9374</v>
      </c>
      <c r="AS681" t="s">
        <v>9375</v>
      </c>
      <c r="AT681" t="s">
        <v>74</v>
      </c>
      <c r="AU681">
        <v>2002</v>
      </c>
      <c r="AV681">
        <v>203</v>
      </c>
      <c r="AW681" t="s">
        <v>74</v>
      </c>
      <c r="AX681" t="s">
        <v>74</v>
      </c>
      <c r="AY681" t="s">
        <v>74</v>
      </c>
      <c r="AZ681" t="s">
        <v>74</v>
      </c>
      <c r="BA681" t="s">
        <v>74</v>
      </c>
      <c r="BB681">
        <v>149</v>
      </c>
      <c r="BC681">
        <v>179</v>
      </c>
      <c r="BD681" t="s">
        <v>74</v>
      </c>
      <c r="BE681" t="s">
        <v>9386</v>
      </c>
      <c r="BF681" t="str">
        <f>HYPERLINK("http://dx.doi.org/10.1144/GSL.SP.2002.203.01.09","http://dx.doi.org/10.1144/GSL.SP.2002.203.01.09")</f>
        <v>http://dx.doi.org/10.1144/GSL.SP.2002.203.01.09</v>
      </c>
      <c r="BG681" t="s">
        <v>74</v>
      </c>
      <c r="BH681" t="s">
        <v>74</v>
      </c>
      <c r="BI681">
        <v>31</v>
      </c>
      <c r="BJ681" t="s">
        <v>7976</v>
      </c>
      <c r="BK681" t="s">
        <v>7004</v>
      </c>
      <c r="BL681" t="s">
        <v>7976</v>
      </c>
      <c r="BM681" t="s">
        <v>9377</v>
      </c>
      <c r="BN681" t="s">
        <v>74</v>
      </c>
      <c r="BO681" t="s">
        <v>665</v>
      </c>
      <c r="BP681" t="s">
        <v>74</v>
      </c>
      <c r="BQ681" t="s">
        <v>74</v>
      </c>
      <c r="BR681" t="s">
        <v>107</v>
      </c>
      <c r="BS681" t="s">
        <v>9387</v>
      </c>
      <c r="BT681" t="str">
        <f>HYPERLINK("https%3A%2F%2Fwww.webofscience.com%2Fwos%2Fwoscc%2Ffull-record%2FWOS:000184435800009","View Full Record in Web of Science")</f>
        <v>View Full Record in Web of Science</v>
      </c>
    </row>
    <row r="682" spans="1:72" x14ac:dyDescent="0.15">
      <c r="A682" t="s">
        <v>6989</v>
      </c>
      <c r="B682" t="s">
        <v>9388</v>
      </c>
      <c r="C682" t="s">
        <v>74</v>
      </c>
      <c r="D682" t="s">
        <v>9357</v>
      </c>
      <c r="E682" t="s">
        <v>74</v>
      </c>
      <c r="F682" t="s">
        <v>9388</v>
      </c>
      <c r="G682" t="s">
        <v>74</v>
      </c>
      <c r="H682" t="s">
        <v>74</v>
      </c>
      <c r="I682" t="s">
        <v>9389</v>
      </c>
      <c r="J682" t="s">
        <v>9359</v>
      </c>
      <c r="K682" t="s">
        <v>9360</v>
      </c>
      <c r="L682" t="s">
        <v>74</v>
      </c>
      <c r="M682" t="s">
        <v>77</v>
      </c>
      <c r="N682" t="s">
        <v>6994</v>
      </c>
      <c r="O682" t="s">
        <v>9361</v>
      </c>
      <c r="P682">
        <v>2001</v>
      </c>
      <c r="Q682" t="s">
        <v>9362</v>
      </c>
      <c r="R682" t="s">
        <v>74</v>
      </c>
      <c r="S682" t="s">
        <v>9363</v>
      </c>
      <c r="T682" t="s">
        <v>74</v>
      </c>
      <c r="U682" t="s">
        <v>9390</v>
      </c>
      <c r="V682" t="s">
        <v>9391</v>
      </c>
      <c r="W682" t="s">
        <v>9392</v>
      </c>
      <c r="X682" t="s">
        <v>9393</v>
      </c>
      <c r="Y682" t="s">
        <v>9394</v>
      </c>
      <c r="Z682" t="s">
        <v>9395</v>
      </c>
      <c r="AA682" t="s">
        <v>74</v>
      </c>
      <c r="AB682" t="s">
        <v>3327</v>
      </c>
      <c r="AC682" t="s">
        <v>74</v>
      </c>
      <c r="AD682" t="s">
        <v>74</v>
      </c>
      <c r="AE682" t="s">
        <v>74</v>
      </c>
      <c r="AF682" t="s">
        <v>74</v>
      </c>
      <c r="AG682">
        <v>42</v>
      </c>
      <c r="AH682">
        <v>53</v>
      </c>
      <c r="AI682">
        <v>55</v>
      </c>
      <c r="AJ682">
        <v>0</v>
      </c>
      <c r="AK682">
        <v>4</v>
      </c>
      <c r="AL682" t="s">
        <v>9370</v>
      </c>
      <c r="AM682" t="s">
        <v>2867</v>
      </c>
      <c r="AN682" t="s">
        <v>9371</v>
      </c>
      <c r="AO682" t="s">
        <v>9372</v>
      </c>
      <c r="AP682" t="s">
        <v>74</v>
      </c>
      <c r="AQ682" t="s">
        <v>9373</v>
      </c>
      <c r="AR682" t="s">
        <v>9374</v>
      </c>
      <c r="AS682" t="s">
        <v>9375</v>
      </c>
      <c r="AT682" t="s">
        <v>74</v>
      </c>
      <c r="AU682">
        <v>2002</v>
      </c>
      <c r="AV682">
        <v>203</v>
      </c>
      <c r="AW682" t="s">
        <v>74</v>
      </c>
      <c r="AX682" t="s">
        <v>74</v>
      </c>
      <c r="AY682" t="s">
        <v>74</v>
      </c>
      <c r="AZ682" t="s">
        <v>74</v>
      </c>
      <c r="BA682" t="s">
        <v>74</v>
      </c>
      <c r="BB682">
        <v>245</v>
      </c>
      <c r="BC682">
        <v>258</v>
      </c>
      <c r="BD682" t="s">
        <v>74</v>
      </c>
      <c r="BE682" t="s">
        <v>9396</v>
      </c>
      <c r="BF682" t="str">
        <f>HYPERLINK("http://dx.doi.org/10.1144/GSL.SP.2002.203.01.13","http://dx.doi.org/10.1144/GSL.SP.2002.203.01.13")</f>
        <v>http://dx.doi.org/10.1144/GSL.SP.2002.203.01.13</v>
      </c>
      <c r="BG682" t="s">
        <v>74</v>
      </c>
      <c r="BH682" t="s">
        <v>74</v>
      </c>
      <c r="BI682">
        <v>14</v>
      </c>
      <c r="BJ682" t="s">
        <v>7976</v>
      </c>
      <c r="BK682" t="s">
        <v>7004</v>
      </c>
      <c r="BL682" t="s">
        <v>7976</v>
      </c>
      <c r="BM682" t="s">
        <v>9377</v>
      </c>
      <c r="BN682" t="s">
        <v>74</v>
      </c>
      <c r="BO682" t="s">
        <v>74</v>
      </c>
      <c r="BP682" t="s">
        <v>74</v>
      </c>
      <c r="BQ682" t="s">
        <v>74</v>
      </c>
      <c r="BR682" t="s">
        <v>107</v>
      </c>
      <c r="BS682" t="s">
        <v>9397</v>
      </c>
      <c r="BT682" t="str">
        <f>HYPERLINK("https%3A%2F%2Fwww.webofscience.com%2Fwos%2Fwoscc%2Ffull-record%2FWOS:000184435800013","View Full Record in Web of Science")</f>
        <v>View Full Record in Web of Science</v>
      </c>
    </row>
    <row r="683" spans="1:72" x14ac:dyDescent="0.15">
      <c r="A683" t="s">
        <v>6989</v>
      </c>
      <c r="B683" t="s">
        <v>9398</v>
      </c>
      <c r="C683" t="s">
        <v>74</v>
      </c>
      <c r="D683" t="s">
        <v>9357</v>
      </c>
      <c r="E683" t="s">
        <v>74</v>
      </c>
      <c r="F683" t="s">
        <v>9398</v>
      </c>
      <c r="G683" t="s">
        <v>74</v>
      </c>
      <c r="H683" t="s">
        <v>74</v>
      </c>
      <c r="I683" t="s">
        <v>9399</v>
      </c>
      <c r="J683" t="s">
        <v>9359</v>
      </c>
      <c r="K683" t="s">
        <v>9360</v>
      </c>
      <c r="L683" t="s">
        <v>74</v>
      </c>
      <c r="M683" t="s">
        <v>77</v>
      </c>
      <c r="N683" t="s">
        <v>6994</v>
      </c>
      <c r="O683" t="s">
        <v>9361</v>
      </c>
      <c r="P683">
        <v>2001</v>
      </c>
      <c r="Q683" t="s">
        <v>9362</v>
      </c>
      <c r="R683" t="s">
        <v>74</v>
      </c>
      <c r="S683" t="s">
        <v>9363</v>
      </c>
      <c r="T683" t="s">
        <v>74</v>
      </c>
      <c r="U683" t="s">
        <v>9400</v>
      </c>
      <c r="V683" t="s">
        <v>9401</v>
      </c>
      <c r="W683" t="s">
        <v>9402</v>
      </c>
      <c r="X683" t="s">
        <v>852</v>
      </c>
      <c r="Y683" t="s">
        <v>9403</v>
      </c>
      <c r="Z683" t="s">
        <v>9404</v>
      </c>
      <c r="AA683" t="s">
        <v>9405</v>
      </c>
      <c r="AB683" t="s">
        <v>9406</v>
      </c>
      <c r="AC683" t="s">
        <v>74</v>
      </c>
      <c r="AD683" t="s">
        <v>74</v>
      </c>
      <c r="AE683" t="s">
        <v>74</v>
      </c>
      <c r="AF683" t="s">
        <v>74</v>
      </c>
      <c r="AG683">
        <v>31</v>
      </c>
      <c r="AH683">
        <v>5</v>
      </c>
      <c r="AI683">
        <v>6</v>
      </c>
      <c r="AJ683">
        <v>0</v>
      </c>
      <c r="AK683">
        <v>2</v>
      </c>
      <c r="AL683" t="s">
        <v>9370</v>
      </c>
      <c r="AM683" t="s">
        <v>2867</v>
      </c>
      <c r="AN683" t="s">
        <v>9371</v>
      </c>
      <c r="AO683" t="s">
        <v>9372</v>
      </c>
      <c r="AP683" t="s">
        <v>74</v>
      </c>
      <c r="AQ683" t="s">
        <v>9373</v>
      </c>
      <c r="AR683" t="s">
        <v>9374</v>
      </c>
      <c r="AS683" t="s">
        <v>9375</v>
      </c>
      <c r="AT683" t="s">
        <v>74</v>
      </c>
      <c r="AU683">
        <v>2002</v>
      </c>
      <c r="AV683">
        <v>203</v>
      </c>
      <c r="AW683" t="s">
        <v>74</v>
      </c>
      <c r="AX683" t="s">
        <v>74</v>
      </c>
      <c r="AY683" t="s">
        <v>74</v>
      </c>
      <c r="AZ683" t="s">
        <v>74</v>
      </c>
      <c r="BA683" t="s">
        <v>74</v>
      </c>
      <c r="BB683">
        <v>367</v>
      </c>
      <c r="BC683">
        <v>373</v>
      </c>
      <c r="BD683" t="s">
        <v>74</v>
      </c>
      <c r="BE683" t="s">
        <v>9407</v>
      </c>
      <c r="BF683" t="str">
        <f>HYPERLINK("http://dx.doi.org/10.1144/GSL.SP.2002.203.01.19","http://dx.doi.org/10.1144/GSL.SP.2002.203.01.19")</f>
        <v>http://dx.doi.org/10.1144/GSL.SP.2002.203.01.19</v>
      </c>
      <c r="BG683" t="s">
        <v>74</v>
      </c>
      <c r="BH683" t="s">
        <v>74</v>
      </c>
      <c r="BI683">
        <v>7</v>
      </c>
      <c r="BJ683" t="s">
        <v>7976</v>
      </c>
      <c r="BK683" t="s">
        <v>7004</v>
      </c>
      <c r="BL683" t="s">
        <v>7976</v>
      </c>
      <c r="BM683" t="s">
        <v>9377</v>
      </c>
      <c r="BN683" t="s">
        <v>74</v>
      </c>
      <c r="BO683" t="s">
        <v>74</v>
      </c>
      <c r="BP683" t="s">
        <v>74</v>
      </c>
      <c r="BQ683" t="s">
        <v>74</v>
      </c>
      <c r="BR683" t="s">
        <v>107</v>
      </c>
      <c r="BS683" t="s">
        <v>9408</v>
      </c>
      <c r="BT683" t="str">
        <f>HYPERLINK("https%3A%2F%2Fwww.webofscience.com%2Fwos%2Fwoscc%2Ffull-record%2FWOS:000184435800019","View Full Record in Web of Science")</f>
        <v>View Full Record in Web of Science</v>
      </c>
    </row>
    <row r="684" spans="1:72" x14ac:dyDescent="0.15">
      <c r="A684" t="s">
        <v>6989</v>
      </c>
      <c r="B684" t="s">
        <v>9409</v>
      </c>
      <c r="C684" t="s">
        <v>74</v>
      </c>
      <c r="D684" t="s">
        <v>9410</v>
      </c>
      <c r="E684" t="s">
        <v>74</v>
      </c>
      <c r="F684" t="s">
        <v>9409</v>
      </c>
      <c r="G684" t="s">
        <v>74</v>
      </c>
      <c r="H684" t="s">
        <v>74</v>
      </c>
      <c r="I684" t="s">
        <v>9411</v>
      </c>
      <c r="J684" t="s">
        <v>9412</v>
      </c>
      <c r="K684" t="s">
        <v>9001</v>
      </c>
      <c r="L684" t="s">
        <v>74</v>
      </c>
      <c r="M684" t="s">
        <v>77</v>
      </c>
      <c r="N684" t="s">
        <v>6994</v>
      </c>
      <c r="O684" t="s">
        <v>9413</v>
      </c>
      <c r="P684" t="s">
        <v>9414</v>
      </c>
      <c r="Q684" t="s">
        <v>9415</v>
      </c>
      <c r="R684" t="s">
        <v>74</v>
      </c>
      <c r="S684" t="s">
        <v>74</v>
      </c>
      <c r="T684" t="s">
        <v>9416</v>
      </c>
      <c r="U684" t="s">
        <v>242</v>
      </c>
      <c r="V684" t="s">
        <v>9417</v>
      </c>
      <c r="W684" t="s">
        <v>9418</v>
      </c>
      <c r="X684" t="s">
        <v>9419</v>
      </c>
      <c r="Y684" t="s">
        <v>9420</v>
      </c>
      <c r="Z684" t="s">
        <v>74</v>
      </c>
      <c r="AA684" t="s">
        <v>74</v>
      </c>
      <c r="AB684" t="s">
        <v>74</v>
      </c>
      <c r="AC684" t="s">
        <v>74</v>
      </c>
      <c r="AD684" t="s">
        <v>74</v>
      </c>
      <c r="AE684" t="s">
        <v>74</v>
      </c>
      <c r="AF684" t="s">
        <v>74</v>
      </c>
      <c r="AG684">
        <v>5</v>
      </c>
      <c r="AH684">
        <v>2</v>
      </c>
      <c r="AI684">
        <v>3</v>
      </c>
      <c r="AJ684">
        <v>0</v>
      </c>
      <c r="AK684">
        <v>2</v>
      </c>
      <c r="AL684" t="s">
        <v>9010</v>
      </c>
      <c r="AM684" t="s">
        <v>9011</v>
      </c>
      <c r="AN684" t="s">
        <v>9012</v>
      </c>
      <c r="AO684" t="s">
        <v>9013</v>
      </c>
      <c r="AP684" t="s">
        <v>74</v>
      </c>
      <c r="AQ684" t="s">
        <v>9421</v>
      </c>
      <c r="AR684" t="s">
        <v>9015</v>
      </c>
      <c r="AS684" t="s">
        <v>74</v>
      </c>
      <c r="AT684" t="s">
        <v>74</v>
      </c>
      <c r="AU684">
        <v>2002</v>
      </c>
      <c r="AV684">
        <v>4758</v>
      </c>
      <c r="AW684" t="s">
        <v>74</v>
      </c>
      <c r="AX684" t="s">
        <v>74</v>
      </c>
      <c r="AY684" t="s">
        <v>74</v>
      </c>
      <c r="AZ684" t="s">
        <v>74</v>
      </c>
      <c r="BA684" t="s">
        <v>74</v>
      </c>
      <c r="BB684">
        <v>433</v>
      </c>
      <c r="BC684">
        <v>437</v>
      </c>
      <c r="BD684" t="s">
        <v>74</v>
      </c>
      <c r="BE684" t="s">
        <v>9422</v>
      </c>
      <c r="BF684" t="str">
        <f>HYPERLINK("http://dx.doi.org/10.1117/12.462269","http://dx.doi.org/10.1117/12.462269")</f>
        <v>http://dx.doi.org/10.1117/12.462269</v>
      </c>
      <c r="BG684" t="s">
        <v>74</v>
      </c>
      <c r="BH684" t="s">
        <v>74</v>
      </c>
      <c r="BI684">
        <v>5</v>
      </c>
      <c r="BJ684" t="s">
        <v>9423</v>
      </c>
      <c r="BK684" t="s">
        <v>7004</v>
      </c>
      <c r="BL684" t="s">
        <v>9424</v>
      </c>
      <c r="BM684" t="s">
        <v>9425</v>
      </c>
      <c r="BN684" t="s">
        <v>74</v>
      </c>
      <c r="BO684" t="s">
        <v>74</v>
      </c>
      <c r="BP684" t="s">
        <v>74</v>
      </c>
      <c r="BQ684" t="s">
        <v>74</v>
      </c>
      <c r="BR684" t="s">
        <v>107</v>
      </c>
      <c r="BS684" t="s">
        <v>9426</v>
      </c>
      <c r="BT684" t="str">
        <f>HYPERLINK("https%3A%2F%2Fwww.webofscience.com%2Fwos%2Fwoscc%2Ffull-record%2FWOS:000176734400078","View Full Record in Web of Science")</f>
        <v>View Full Record in Web of Science</v>
      </c>
    </row>
    <row r="685" spans="1:72" x14ac:dyDescent="0.15">
      <c r="A685" t="s">
        <v>6989</v>
      </c>
      <c r="B685" t="s">
        <v>9427</v>
      </c>
      <c r="C685" t="s">
        <v>74</v>
      </c>
      <c r="D685" t="s">
        <v>9428</v>
      </c>
      <c r="E685" t="s">
        <v>74</v>
      </c>
      <c r="F685" t="s">
        <v>9427</v>
      </c>
      <c r="G685" t="s">
        <v>74</v>
      </c>
      <c r="H685" t="s">
        <v>74</v>
      </c>
      <c r="I685" t="s">
        <v>9429</v>
      </c>
      <c r="J685" t="s">
        <v>9430</v>
      </c>
      <c r="K685" t="s">
        <v>9431</v>
      </c>
      <c r="L685" t="s">
        <v>74</v>
      </c>
      <c r="M685" t="s">
        <v>77</v>
      </c>
      <c r="N685" t="s">
        <v>6994</v>
      </c>
      <c r="O685" t="s">
        <v>9432</v>
      </c>
      <c r="P685" t="s">
        <v>9433</v>
      </c>
      <c r="Q685" t="s">
        <v>9434</v>
      </c>
      <c r="R685" t="s">
        <v>74</v>
      </c>
      <c r="S685" t="s">
        <v>74</v>
      </c>
      <c r="T685" t="s">
        <v>9435</v>
      </c>
      <c r="U685" t="s">
        <v>74</v>
      </c>
      <c r="V685" t="s">
        <v>9436</v>
      </c>
      <c r="W685" t="s">
        <v>7260</v>
      </c>
      <c r="X685" t="s">
        <v>7037</v>
      </c>
      <c r="Y685" t="s">
        <v>7272</v>
      </c>
      <c r="Z685" t="s">
        <v>9437</v>
      </c>
      <c r="AA685" t="s">
        <v>74</v>
      </c>
      <c r="AB685" t="s">
        <v>74</v>
      </c>
      <c r="AC685" t="s">
        <v>74</v>
      </c>
      <c r="AD685" t="s">
        <v>74</v>
      </c>
      <c r="AE685" t="s">
        <v>74</v>
      </c>
      <c r="AF685" t="s">
        <v>74</v>
      </c>
      <c r="AG685">
        <v>7</v>
      </c>
      <c r="AH685">
        <v>1</v>
      </c>
      <c r="AI685">
        <v>1</v>
      </c>
      <c r="AJ685">
        <v>0</v>
      </c>
      <c r="AK685">
        <v>0</v>
      </c>
      <c r="AL685" t="s">
        <v>8083</v>
      </c>
      <c r="AM685" t="s">
        <v>2373</v>
      </c>
      <c r="AN685" t="s">
        <v>8084</v>
      </c>
      <c r="AO685" t="s">
        <v>9438</v>
      </c>
      <c r="AP685" t="s">
        <v>74</v>
      </c>
      <c r="AQ685" t="s">
        <v>9439</v>
      </c>
      <c r="AR685" t="s">
        <v>9440</v>
      </c>
      <c r="AS685" t="s">
        <v>74</v>
      </c>
      <c r="AT685" t="s">
        <v>74</v>
      </c>
      <c r="AU685">
        <v>2002</v>
      </c>
      <c r="AV685">
        <v>123</v>
      </c>
      <c r="AW685" t="s">
        <v>74</v>
      </c>
      <c r="AX685" t="s">
        <v>74</v>
      </c>
      <c r="AY685" t="s">
        <v>74</v>
      </c>
      <c r="AZ685" t="s">
        <v>74</v>
      </c>
      <c r="BA685" t="s">
        <v>74</v>
      </c>
      <c r="BB685">
        <v>1</v>
      </c>
      <c r="BC685">
        <v>5</v>
      </c>
      <c r="BD685" t="s">
        <v>74</v>
      </c>
      <c r="BE685" t="s">
        <v>74</v>
      </c>
      <c r="BF685" t="s">
        <v>74</v>
      </c>
      <c r="BG685" t="s">
        <v>74</v>
      </c>
      <c r="BH685" t="s">
        <v>74</v>
      </c>
      <c r="BI685">
        <v>5</v>
      </c>
      <c r="BJ685" t="s">
        <v>556</v>
      </c>
      <c r="BK685" t="s">
        <v>7004</v>
      </c>
      <c r="BL685" t="s">
        <v>556</v>
      </c>
      <c r="BM685" t="s">
        <v>9441</v>
      </c>
      <c r="BN685" t="s">
        <v>74</v>
      </c>
      <c r="BO685" t="s">
        <v>74</v>
      </c>
      <c r="BP685" t="s">
        <v>74</v>
      </c>
      <c r="BQ685" t="s">
        <v>74</v>
      </c>
      <c r="BR685" t="s">
        <v>107</v>
      </c>
      <c r="BS685" t="s">
        <v>9442</v>
      </c>
      <c r="BT685" t="str">
        <f>HYPERLINK("https%3A%2F%2Fwww.webofscience.com%2Fwos%2Fwoscc%2Ffull-record%2FWOS:000174088700001","View Full Record in Web of Science")</f>
        <v>View Full Record in Web of Science</v>
      </c>
    </row>
    <row r="686" spans="1:72" x14ac:dyDescent="0.15">
      <c r="A686" t="s">
        <v>6989</v>
      </c>
      <c r="B686" t="s">
        <v>9443</v>
      </c>
      <c r="C686" t="s">
        <v>74</v>
      </c>
      <c r="D686" t="s">
        <v>9428</v>
      </c>
      <c r="E686" t="s">
        <v>74</v>
      </c>
      <c r="F686" t="s">
        <v>9443</v>
      </c>
      <c r="G686" t="s">
        <v>74</v>
      </c>
      <c r="H686" t="s">
        <v>74</v>
      </c>
      <c r="I686" t="s">
        <v>9444</v>
      </c>
      <c r="J686" t="s">
        <v>9430</v>
      </c>
      <c r="K686" t="s">
        <v>9445</v>
      </c>
      <c r="L686" t="s">
        <v>74</v>
      </c>
      <c r="M686" t="s">
        <v>77</v>
      </c>
      <c r="N686" t="s">
        <v>6994</v>
      </c>
      <c r="O686" t="s">
        <v>9432</v>
      </c>
      <c r="P686" t="s">
        <v>9433</v>
      </c>
      <c r="Q686" t="s">
        <v>9434</v>
      </c>
      <c r="R686" t="s">
        <v>74</v>
      </c>
      <c r="S686" t="s">
        <v>74</v>
      </c>
      <c r="T686" t="s">
        <v>9446</v>
      </c>
      <c r="U686" t="s">
        <v>74</v>
      </c>
      <c r="V686" t="s">
        <v>9447</v>
      </c>
      <c r="W686" t="s">
        <v>9448</v>
      </c>
      <c r="X686" t="s">
        <v>9449</v>
      </c>
      <c r="Y686" t="s">
        <v>9450</v>
      </c>
      <c r="Z686" t="s">
        <v>74</v>
      </c>
      <c r="AA686" t="s">
        <v>74</v>
      </c>
      <c r="AB686" t="s">
        <v>74</v>
      </c>
      <c r="AC686" t="s">
        <v>74</v>
      </c>
      <c r="AD686" t="s">
        <v>74</v>
      </c>
      <c r="AE686" t="s">
        <v>74</v>
      </c>
      <c r="AF686" t="s">
        <v>74</v>
      </c>
      <c r="AG686">
        <v>6</v>
      </c>
      <c r="AH686">
        <v>0</v>
      </c>
      <c r="AI686">
        <v>0</v>
      </c>
      <c r="AJ686">
        <v>0</v>
      </c>
      <c r="AK686">
        <v>0</v>
      </c>
      <c r="AL686" t="s">
        <v>8083</v>
      </c>
      <c r="AM686" t="s">
        <v>2373</v>
      </c>
      <c r="AN686" t="s">
        <v>8084</v>
      </c>
      <c r="AO686" t="s">
        <v>9438</v>
      </c>
      <c r="AP686" t="s">
        <v>74</v>
      </c>
      <c r="AQ686" t="s">
        <v>9439</v>
      </c>
      <c r="AR686" t="s">
        <v>9440</v>
      </c>
      <c r="AS686" t="s">
        <v>74</v>
      </c>
      <c r="AT686" t="s">
        <v>74</v>
      </c>
      <c r="AU686">
        <v>2002</v>
      </c>
      <c r="AV686">
        <v>123</v>
      </c>
      <c r="AW686" t="s">
        <v>74</v>
      </c>
      <c r="AX686" t="s">
        <v>74</v>
      </c>
      <c r="AY686" t="s">
        <v>74</v>
      </c>
      <c r="AZ686" t="s">
        <v>74</v>
      </c>
      <c r="BA686" t="s">
        <v>74</v>
      </c>
      <c r="BB686">
        <v>29</v>
      </c>
      <c r="BC686">
        <v>34</v>
      </c>
      <c r="BD686" t="s">
        <v>74</v>
      </c>
      <c r="BE686" t="s">
        <v>74</v>
      </c>
      <c r="BF686" t="s">
        <v>74</v>
      </c>
      <c r="BG686" t="s">
        <v>74</v>
      </c>
      <c r="BH686" t="s">
        <v>74</v>
      </c>
      <c r="BI686">
        <v>6</v>
      </c>
      <c r="BJ686" t="s">
        <v>556</v>
      </c>
      <c r="BK686" t="s">
        <v>7004</v>
      </c>
      <c r="BL686" t="s">
        <v>556</v>
      </c>
      <c r="BM686" t="s">
        <v>9441</v>
      </c>
      <c r="BN686" t="s">
        <v>74</v>
      </c>
      <c r="BO686" t="s">
        <v>74</v>
      </c>
      <c r="BP686" t="s">
        <v>74</v>
      </c>
      <c r="BQ686" t="s">
        <v>74</v>
      </c>
      <c r="BR686" t="s">
        <v>107</v>
      </c>
      <c r="BS686" t="s">
        <v>9451</v>
      </c>
      <c r="BT686" t="str">
        <f>HYPERLINK("https%3A%2F%2Fwww.webofscience.com%2Fwos%2Fwoscc%2Ffull-record%2FWOS:000174088700005","View Full Record in Web of Science")</f>
        <v>View Full Record in Web of Science</v>
      </c>
    </row>
    <row r="687" spans="1:72" x14ac:dyDescent="0.15">
      <c r="A687" t="s">
        <v>6989</v>
      </c>
      <c r="B687" t="s">
        <v>9452</v>
      </c>
      <c r="C687" t="s">
        <v>74</v>
      </c>
      <c r="D687" t="s">
        <v>9428</v>
      </c>
      <c r="E687" t="s">
        <v>74</v>
      </c>
      <c r="F687" t="s">
        <v>9452</v>
      </c>
      <c r="G687" t="s">
        <v>74</v>
      </c>
      <c r="H687" t="s">
        <v>74</v>
      </c>
      <c r="I687" t="s">
        <v>9453</v>
      </c>
      <c r="J687" t="s">
        <v>9430</v>
      </c>
      <c r="K687" t="s">
        <v>9431</v>
      </c>
      <c r="L687" t="s">
        <v>74</v>
      </c>
      <c r="M687" t="s">
        <v>77</v>
      </c>
      <c r="N687" t="s">
        <v>6994</v>
      </c>
      <c r="O687" t="s">
        <v>9432</v>
      </c>
      <c r="P687" t="s">
        <v>9433</v>
      </c>
      <c r="Q687" t="s">
        <v>9434</v>
      </c>
      <c r="R687" t="s">
        <v>74</v>
      </c>
      <c r="S687" t="s">
        <v>74</v>
      </c>
      <c r="T687" t="s">
        <v>9454</v>
      </c>
      <c r="U687" t="s">
        <v>9455</v>
      </c>
      <c r="V687" t="s">
        <v>9456</v>
      </c>
      <c r="W687" t="s">
        <v>9457</v>
      </c>
      <c r="X687" t="s">
        <v>3630</v>
      </c>
      <c r="Y687" t="s">
        <v>9458</v>
      </c>
      <c r="Z687" t="s">
        <v>74</v>
      </c>
      <c r="AA687" t="s">
        <v>74</v>
      </c>
      <c r="AB687" t="s">
        <v>74</v>
      </c>
      <c r="AC687" t="s">
        <v>74</v>
      </c>
      <c r="AD687" t="s">
        <v>74</v>
      </c>
      <c r="AE687" t="s">
        <v>74</v>
      </c>
      <c r="AF687" t="s">
        <v>74</v>
      </c>
      <c r="AG687">
        <v>14</v>
      </c>
      <c r="AH687">
        <v>0</v>
      </c>
      <c r="AI687">
        <v>0</v>
      </c>
      <c r="AJ687">
        <v>0</v>
      </c>
      <c r="AK687">
        <v>2</v>
      </c>
      <c r="AL687" t="s">
        <v>8083</v>
      </c>
      <c r="AM687" t="s">
        <v>2373</v>
      </c>
      <c r="AN687" t="s">
        <v>8084</v>
      </c>
      <c r="AO687" t="s">
        <v>9438</v>
      </c>
      <c r="AP687" t="s">
        <v>74</v>
      </c>
      <c r="AQ687" t="s">
        <v>9439</v>
      </c>
      <c r="AR687" t="s">
        <v>9440</v>
      </c>
      <c r="AS687" t="s">
        <v>74</v>
      </c>
      <c r="AT687" t="s">
        <v>74</v>
      </c>
      <c r="AU687">
        <v>2002</v>
      </c>
      <c r="AV687">
        <v>123</v>
      </c>
      <c r="AW687" t="s">
        <v>74</v>
      </c>
      <c r="AX687" t="s">
        <v>74</v>
      </c>
      <c r="AY687" t="s">
        <v>74</v>
      </c>
      <c r="AZ687" t="s">
        <v>74</v>
      </c>
      <c r="BA687" t="s">
        <v>74</v>
      </c>
      <c r="BB687">
        <v>229</v>
      </c>
      <c r="BC687">
        <v>234</v>
      </c>
      <c r="BD687" t="s">
        <v>74</v>
      </c>
      <c r="BE687" t="s">
        <v>74</v>
      </c>
      <c r="BF687" t="s">
        <v>74</v>
      </c>
      <c r="BG687" t="s">
        <v>74</v>
      </c>
      <c r="BH687" t="s">
        <v>74</v>
      </c>
      <c r="BI687">
        <v>6</v>
      </c>
      <c r="BJ687" t="s">
        <v>556</v>
      </c>
      <c r="BK687" t="s">
        <v>7004</v>
      </c>
      <c r="BL687" t="s">
        <v>556</v>
      </c>
      <c r="BM687" t="s">
        <v>9441</v>
      </c>
      <c r="BN687" t="s">
        <v>74</v>
      </c>
      <c r="BO687" t="s">
        <v>74</v>
      </c>
      <c r="BP687" t="s">
        <v>74</v>
      </c>
      <c r="BQ687" t="s">
        <v>74</v>
      </c>
      <c r="BR687" t="s">
        <v>107</v>
      </c>
      <c r="BS687" t="s">
        <v>9459</v>
      </c>
      <c r="BT687" t="str">
        <f>HYPERLINK("https%3A%2F%2Fwww.webofscience.com%2Fwos%2Fwoscc%2Ffull-record%2FWOS:000174088700038","View Full Record in Web of Science")</f>
        <v>View Full Record in Web of Science</v>
      </c>
    </row>
    <row r="688" spans="1:72" x14ac:dyDescent="0.15">
      <c r="A688" t="s">
        <v>6989</v>
      </c>
      <c r="B688" t="s">
        <v>9460</v>
      </c>
      <c r="C688" t="s">
        <v>74</v>
      </c>
      <c r="D688" t="s">
        <v>9428</v>
      </c>
      <c r="E688" t="s">
        <v>74</v>
      </c>
      <c r="F688" t="s">
        <v>9460</v>
      </c>
      <c r="G688" t="s">
        <v>74</v>
      </c>
      <c r="H688" t="s">
        <v>74</v>
      </c>
      <c r="I688" t="s">
        <v>9461</v>
      </c>
      <c r="J688" t="s">
        <v>9430</v>
      </c>
      <c r="K688" t="s">
        <v>9445</v>
      </c>
      <c r="L688" t="s">
        <v>74</v>
      </c>
      <c r="M688" t="s">
        <v>77</v>
      </c>
      <c r="N688" t="s">
        <v>6994</v>
      </c>
      <c r="O688" t="s">
        <v>9432</v>
      </c>
      <c r="P688" t="s">
        <v>9433</v>
      </c>
      <c r="Q688" t="s">
        <v>9434</v>
      </c>
      <c r="R688" t="s">
        <v>74</v>
      </c>
      <c r="S688" t="s">
        <v>74</v>
      </c>
      <c r="T688" t="s">
        <v>9462</v>
      </c>
      <c r="U688" t="s">
        <v>9463</v>
      </c>
      <c r="V688" t="s">
        <v>9464</v>
      </c>
      <c r="W688" t="s">
        <v>9465</v>
      </c>
      <c r="X688" t="s">
        <v>2770</v>
      </c>
      <c r="Y688" t="s">
        <v>9466</v>
      </c>
      <c r="Z688" t="s">
        <v>74</v>
      </c>
      <c r="AA688" t="s">
        <v>74</v>
      </c>
      <c r="AB688" t="s">
        <v>74</v>
      </c>
      <c r="AC688" t="s">
        <v>74</v>
      </c>
      <c r="AD688" t="s">
        <v>74</v>
      </c>
      <c r="AE688" t="s">
        <v>74</v>
      </c>
      <c r="AF688" t="s">
        <v>74</v>
      </c>
      <c r="AG688">
        <v>19</v>
      </c>
      <c r="AH688">
        <v>3</v>
      </c>
      <c r="AI688">
        <v>3</v>
      </c>
      <c r="AJ688">
        <v>0</v>
      </c>
      <c r="AK688">
        <v>0</v>
      </c>
      <c r="AL688" t="s">
        <v>8083</v>
      </c>
      <c r="AM688" t="s">
        <v>2373</v>
      </c>
      <c r="AN688" t="s">
        <v>8084</v>
      </c>
      <c r="AO688" t="s">
        <v>9438</v>
      </c>
      <c r="AP688" t="s">
        <v>74</v>
      </c>
      <c r="AQ688" t="s">
        <v>9439</v>
      </c>
      <c r="AR688" t="s">
        <v>9440</v>
      </c>
      <c r="AS688" t="s">
        <v>74</v>
      </c>
      <c r="AT688" t="s">
        <v>74</v>
      </c>
      <c r="AU688">
        <v>2002</v>
      </c>
      <c r="AV688">
        <v>123</v>
      </c>
      <c r="AW688" t="s">
        <v>74</v>
      </c>
      <c r="AX688" t="s">
        <v>74</v>
      </c>
      <c r="AY688" t="s">
        <v>74</v>
      </c>
      <c r="AZ688" t="s">
        <v>74</v>
      </c>
      <c r="BA688" t="s">
        <v>74</v>
      </c>
      <c r="BB688">
        <v>355</v>
      </c>
      <c r="BC688">
        <v>360</v>
      </c>
      <c r="BD688" t="s">
        <v>74</v>
      </c>
      <c r="BE688" t="s">
        <v>74</v>
      </c>
      <c r="BF688" t="s">
        <v>74</v>
      </c>
      <c r="BG688" t="s">
        <v>74</v>
      </c>
      <c r="BH688" t="s">
        <v>74</v>
      </c>
      <c r="BI688">
        <v>6</v>
      </c>
      <c r="BJ688" t="s">
        <v>556</v>
      </c>
      <c r="BK688" t="s">
        <v>7004</v>
      </c>
      <c r="BL688" t="s">
        <v>556</v>
      </c>
      <c r="BM688" t="s">
        <v>9441</v>
      </c>
      <c r="BN688" t="s">
        <v>74</v>
      </c>
      <c r="BO688" t="s">
        <v>74</v>
      </c>
      <c r="BP688" t="s">
        <v>74</v>
      </c>
      <c r="BQ688" t="s">
        <v>74</v>
      </c>
      <c r="BR688" t="s">
        <v>107</v>
      </c>
      <c r="BS688" t="s">
        <v>9467</v>
      </c>
      <c r="BT688" t="str">
        <f>HYPERLINK("https%3A%2F%2Fwww.webofscience.com%2Fwos%2Fwoscc%2Ffull-record%2FWOS:000174088700059","View Full Record in Web of Science")</f>
        <v>View Full Record in Web of Science</v>
      </c>
    </row>
    <row r="689" spans="1:72" x14ac:dyDescent="0.15">
      <c r="A689" t="s">
        <v>6989</v>
      </c>
      <c r="B689" t="s">
        <v>9468</v>
      </c>
      <c r="C689" t="s">
        <v>74</v>
      </c>
      <c r="D689" t="s">
        <v>9428</v>
      </c>
      <c r="E689" t="s">
        <v>74</v>
      </c>
      <c r="F689" t="s">
        <v>9468</v>
      </c>
      <c r="G689" t="s">
        <v>74</v>
      </c>
      <c r="H689" t="s">
        <v>74</v>
      </c>
      <c r="I689" t="s">
        <v>9469</v>
      </c>
      <c r="J689" t="s">
        <v>9430</v>
      </c>
      <c r="K689" t="s">
        <v>9431</v>
      </c>
      <c r="L689" t="s">
        <v>74</v>
      </c>
      <c r="M689" t="s">
        <v>77</v>
      </c>
      <c r="N689" t="s">
        <v>6994</v>
      </c>
      <c r="O689" t="s">
        <v>9432</v>
      </c>
      <c r="P689" t="s">
        <v>9433</v>
      </c>
      <c r="Q689" t="s">
        <v>9434</v>
      </c>
      <c r="R689" t="s">
        <v>74</v>
      </c>
      <c r="S689" t="s">
        <v>74</v>
      </c>
      <c r="T689" t="s">
        <v>9470</v>
      </c>
      <c r="U689" t="s">
        <v>9471</v>
      </c>
      <c r="V689" t="s">
        <v>9472</v>
      </c>
      <c r="W689" t="s">
        <v>7260</v>
      </c>
      <c r="X689" t="s">
        <v>7037</v>
      </c>
      <c r="Y689" t="s">
        <v>7272</v>
      </c>
      <c r="Z689" t="s">
        <v>74</v>
      </c>
      <c r="AA689" t="s">
        <v>9473</v>
      </c>
      <c r="AB689" t="s">
        <v>9474</v>
      </c>
      <c r="AC689" t="s">
        <v>74</v>
      </c>
      <c r="AD689" t="s">
        <v>74</v>
      </c>
      <c r="AE689" t="s">
        <v>74</v>
      </c>
      <c r="AF689" t="s">
        <v>74</v>
      </c>
      <c r="AG689">
        <v>30</v>
      </c>
      <c r="AH689">
        <v>12</v>
      </c>
      <c r="AI689">
        <v>13</v>
      </c>
      <c r="AJ689">
        <v>0</v>
      </c>
      <c r="AK689">
        <v>1</v>
      </c>
      <c r="AL689" t="s">
        <v>8083</v>
      </c>
      <c r="AM689" t="s">
        <v>2373</v>
      </c>
      <c r="AN689" t="s">
        <v>8084</v>
      </c>
      <c r="AO689" t="s">
        <v>9438</v>
      </c>
      <c r="AP689" t="s">
        <v>74</v>
      </c>
      <c r="AQ689" t="s">
        <v>9439</v>
      </c>
      <c r="AR689" t="s">
        <v>9440</v>
      </c>
      <c r="AS689" t="s">
        <v>74</v>
      </c>
      <c r="AT689" t="s">
        <v>74</v>
      </c>
      <c r="AU689">
        <v>2002</v>
      </c>
      <c r="AV689">
        <v>123</v>
      </c>
      <c r="AW689" t="s">
        <v>74</v>
      </c>
      <c r="AX689" t="s">
        <v>74</v>
      </c>
      <c r="AY689" t="s">
        <v>74</v>
      </c>
      <c r="AZ689" t="s">
        <v>74</v>
      </c>
      <c r="BA689" t="s">
        <v>74</v>
      </c>
      <c r="BB689">
        <v>361</v>
      </c>
      <c r="BC689">
        <v>366</v>
      </c>
      <c r="BD689" t="s">
        <v>74</v>
      </c>
      <c r="BE689" t="s">
        <v>74</v>
      </c>
      <c r="BF689" t="s">
        <v>74</v>
      </c>
      <c r="BG689" t="s">
        <v>74</v>
      </c>
      <c r="BH689" t="s">
        <v>74</v>
      </c>
      <c r="BI689">
        <v>6</v>
      </c>
      <c r="BJ689" t="s">
        <v>556</v>
      </c>
      <c r="BK689" t="s">
        <v>7004</v>
      </c>
      <c r="BL689" t="s">
        <v>556</v>
      </c>
      <c r="BM689" t="s">
        <v>9441</v>
      </c>
      <c r="BN689" t="s">
        <v>74</v>
      </c>
      <c r="BO689" t="s">
        <v>74</v>
      </c>
      <c r="BP689" t="s">
        <v>74</v>
      </c>
      <c r="BQ689" t="s">
        <v>74</v>
      </c>
      <c r="BR689" t="s">
        <v>107</v>
      </c>
      <c r="BS689" t="s">
        <v>9475</v>
      </c>
      <c r="BT689" t="str">
        <f>HYPERLINK("https%3A%2F%2Fwww.webofscience.com%2Fwos%2Fwoscc%2Ffull-record%2FWOS:000174088700060","View Full Record in Web of Science")</f>
        <v>View Full Record in Web of Science</v>
      </c>
    </row>
    <row r="690" spans="1:72" x14ac:dyDescent="0.15">
      <c r="A690" t="s">
        <v>6989</v>
      </c>
      <c r="B690" t="s">
        <v>9476</v>
      </c>
      <c r="C690" t="s">
        <v>74</v>
      </c>
      <c r="D690" t="s">
        <v>9428</v>
      </c>
      <c r="E690" t="s">
        <v>74</v>
      </c>
      <c r="F690" t="s">
        <v>9476</v>
      </c>
      <c r="G690" t="s">
        <v>74</v>
      </c>
      <c r="H690" t="s">
        <v>74</v>
      </c>
      <c r="I690" t="s">
        <v>9477</v>
      </c>
      <c r="J690" t="s">
        <v>9430</v>
      </c>
      <c r="K690" t="s">
        <v>9445</v>
      </c>
      <c r="L690" t="s">
        <v>74</v>
      </c>
      <c r="M690" t="s">
        <v>77</v>
      </c>
      <c r="N690" t="s">
        <v>6994</v>
      </c>
      <c r="O690" t="s">
        <v>9432</v>
      </c>
      <c r="P690" t="s">
        <v>9433</v>
      </c>
      <c r="Q690" t="s">
        <v>9434</v>
      </c>
      <c r="R690" t="s">
        <v>74</v>
      </c>
      <c r="S690" t="s">
        <v>74</v>
      </c>
      <c r="T690" t="s">
        <v>9478</v>
      </c>
      <c r="U690" t="s">
        <v>9479</v>
      </c>
      <c r="V690" t="s">
        <v>9480</v>
      </c>
      <c r="W690" t="s">
        <v>9481</v>
      </c>
      <c r="X690" t="s">
        <v>74</v>
      </c>
      <c r="Y690" t="s">
        <v>9482</v>
      </c>
      <c r="Z690" t="s">
        <v>74</v>
      </c>
      <c r="AA690" t="s">
        <v>74</v>
      </c>
      <c r="AB690" t="s">
        <v>74</v>
      </c>
      <c r="AC690" t="s">
        <v>74</v>
      </c>
      <c r="AD690" t="s">
        <v>74</v>
      </c>
      <c r="AE690" t="s">
        <v>74</v>
      </c>
      <c r="AF690" t="s">
        <v>74</v>
      </c>
      <c r="AG690">
        <v>18</v>
      </c>
      <c r="AH690">
        <v>1</v>
      </c>
      <c r="AI690">
        <v>1</v>
      </c>
      <c r="AJ690">
        <v>0</v>
      </c>
      <c r="AK690">
        <v>1</v>
      </c>
      <c r="AL690" t="s">
        <v>8083</v>
      </c>
      <c r="AM690" t="s">
        <v>2373</v>
      </c>
      <c r="AN690" t="s">
        <v>8084</v>
      </c>
      <c r="AO690" t="s">
        <v>9438</v>
      </c>
      <c r="AP690" t="s">
        <v>74</v>
      </c>
      <c r="AQ690" t="s">
        <v>9439</v>
      </c>
      <c r="AR690" t="s">
        <v>9440</v>
      </c>
      <c r="AS690" t="s">
        <v>74</v>
      </c>
      <c r="AT690" t="s">
        <v>74</v>
      </c>
      <c r="AU690">
        <v>2002</v>
      </c>
      <c r="AV690">
        <v>123</v>
      </c>
      <c r="AW690" t="s">
        <v>74</v>
      </c>
      <c r="AX690" t="s">
        <v>74</v>
      </c>
      <c r="AY690" t="s">
        <v>74</v>
      </c>
      <c r="AZ690" t="s">
        <v>74</v>
      </c>
      <c r="BA690" t="s">
        <v>74</v>
      </c>
      <c r="BB690">
        <v>367</v>
      </c>
      <c r="BC690">
        <v>372</v>
      </c>
      <c r="BD690" t="s">
        <v>74</v>
      </c>
      <c r="BE690" t="s">
        <v>74</v>
      </c>
      <c r="BF690" t="s">
        <v>74</v>
      </c>
      <c r="BG690" t="s">
        <v>74</v>
      </c>
      <c r="BH690" t="s">
        <v>74</v>
      </c>
      <c r="BI690">
        <v>6</v>
      </c>
      <c r="BJ690" t="s">
        <v>556</v>
      </c>
      <c r="BK690" t="s">
        <v>7004</v>
      </c>
      <c r="BL690" t="s">
        <v>556</v>
      </c>
      <c r="BM690" t="s">
        <v>9441</v>
      </c>
      <c r="BN690" t="s">
        <v>74</v>
      </c>
      <c r="BO690" t="s">
        <v>74</v>
      </c>
      <c r="BP690" t="s">
        <v>74</v>
      </c>
      <c r="BQ690" t="s">
        <v>74</v>
      </c>
      <c r="BR690" t="s">
        <v>107</v>
      </c>
      <c r="BS690" t="s">
        <v>9483</v>
      </c>
      <c r="BT690" t="str">
        <f>HYPERLINK("https%3A%2F%2Fwww.webofscience.com%2Fwos%2Fwoscc%2Ffull-record%2FWOS:000174088700061","View Full Record in Web of Science")</f>
        <v>View Full Record in Web of Science</v>
      </c>
    </row>
    <row r="691" spans="1:72" x14ac:dyDescent="0.15">
      <c r="A691" t="s">
        <v>6989</v>
      </c>
      <c r="B691" t="s">
        <v>9484</v>
      </c>
      <c r="C691" t="s">
        <v>74</v>
      </c>
      <c r="D691" t="s">
        <v>9428</v>
      </c>
      <c r="E691" t="s">
        <v>74</v>
      </c>
      <c r="F691" t="s">
        <v>9484</v>
      </c>
      <c r="G691" t="s">
        <v>74</v>
      </c>
      <c r="H691" t="s">
        <v>74</v>
      </c>
      <c r="I691" t="s">
        <v>9485</v>
      </c>
      <c r="J691" t="s">
        <v>9430</v>
      </c>
      <c r="K691" t="s">
        <v>9445</v>
      </c>
      <c r="L691" t="s">
        <v>74</v>
      </c>
      <c r="M691" t="s">
        <v>77</v>
      </c>
      <c r="N691" t="s">
        <v>6994</v>
      </c>
      <c r="O691" t="s">
        <v>9432</v>
      </c>
      <c r="P691" t="s">
        <v>9433</v>
      </c>
      <c r="Q691" t="s">
        <v>9434</v>
      </c>
      <c r="R691" t="s">
        <v>74</v>
      </c>
      <c r="S691" t="s">
        <v>74</v>
      </c>
      <c r="T691" t="s">
        <v>9486</v>
      </c>
      <c r="U691" t="s">
        <v>74</v>
      </c>
      <c r="V691" t="s">
        <v>9487</v>
      </c>
      <c r="W691" t="s">
        <v>9488</v>
      </c>
      <c r="X691" t="s">
        <v>9489</v>
      </c>
      <c r="Y691" t="s">
        <v>9490</v>
      </c>
      <c r="Z691" t="s">
        <v>74</v>
      </c>
      <c r="AA691" t="s">
        <v>9491</v>
      </c>
      <c r="AB691" t="s">
        <v>9492</v>
      </c>
      <c r="AC691" t="s">
        <v>74</v>
      </c>
      <c r="AD691" t="s">
        <v>74</v>
      </c>
      <c r="AE691" t="s">
        <v>74</v>
      </c>
      <c r="AF691" t="s">
        <v>74</v>
      </c>
      <c r="AG691">
        <v>4</v>
      </c>
      <c r="AH691">
        <v>3</v>
      </c>
      <c r="AI691">
        <v>3</v>
      </c>
      <c r="AJ691">
        <v>0</v>
      </c>
      <c r="AK691">
        <v>0</v>
      </c>
      <c r="AL691" t="s">
        <v>8083</v>
      </c>
      <c r="AM691" t="s">
        <v>2373</v>
      </c>
      <c r="AN691" t="s">
        <v>8084</v>
      </c>
      <c r="AO691" t="s">
        <v>9438</v>
      </c>
      <c r="AP691" t="s">
        <v>74</v>
      </c>
      <c r="AQ691" t="s">
        <v>9439</v>
      </c>
      <c r="AR691" t="s">
        <v>9440</v>
      </c>
      <c r="AS691" t="s">
        <v>74</v>
      </c>
      <c r="AT691" t="s">
        <v>74</v>
      </c>
      <c r="AU691">
        <v>2002</v>
      </c>
      <c r="AV691">
        <v>123</v>
      </c>
      <c r="AW691" t="s">
        <v>74</v>
      </c>
      <c r="AX691" t="s">
        <v>74</v>
      </c>
      <c r="AY691" t="s">
        <v>74</v>
      </c>
      <c r="AZ691" t="s">
        <v>74</v>
      </c>
      <c r="BA691" t="s">
        <v>74</v>
      </c>
      <c r="BB691">
        <v>379</v>
      </c>
      <c r="BC691">
        <v>385</v>
      </c>
      <c r="BD691" t="s">
        <v>74</v>
      </c>
      <c r="BE691" t="s">
        <v>74</v>
      </c>
      <c r="BF691" t="s">
        <v>74</v>
      </c>
      <c r="BG691" t="s">
        <v>74</v>
      </c>
      <c r="BH691" t="s">
        <v>74</v>
      </c>
      <c r="BI691">
        <v>7</v>
      </c>
      <c r="BJ691" t="s">
        <v>556</v>
      </c>
      <c r="BK691" t="s">
        <v>7004</v>
      </c>
      <c r="BL691" t="s">
        <v>556</v>
      </c>
      <c r="BM691" t="s">
        <v>9441</v>
      </c>
      <c r="BN691" t="s">
        <v>74</v>
      </c>
      <c r="BO691" t="s">
        <v>74</v>
      </c>
      <c r="BP691" t="s">
        <v>74</v>
      </c>
      <c r="BQ691" t="s">
        <v>74</v>
      </c>
      <c r="BR691" t="s">
        <v>107</v>
      </c>
      <c r="BS691" t="s">
        <v>9493</v>
      </c>
      <c r="BT691" t="str">
        <f>HYPERLINK("https%3A%2F%2Fwww.webofscience.com%2Fwos%2Fwoscc%2Ffull-record%2FWOS:000174088700063","View Full Record in Web of Science")</f>
        <v>View Full Record in Web of Science</v>
      </c>
    </row>
    <row r="692" spans="1:72" x14ac:dyDescent="0.15">
      <c r="A692" t="s">
        <v>1051</v>
      </c>
      <c r="B692" t="s">
        <v>9494</v>
      </c>
      <c r="C692" t="s">
        <v>74</v>
      </c>
      <c r="D692" t="s">
        <v>9495</v>
      </c>
      <c r="E692" t="s">
        <v>74</v>
      </c>
      <c r="F692" t="s">
        <v>9494</v>
      </c>
      <c r="G692" t="s">
        <v>74</v>
      </c>
      <c r="H692" t="s">
        <v>74</v>
      </c>
      <c r="I692" t="s">
        <v>9496</v>
      </c>
      <c r="J692" t="s">
        <v>9497</v>
      </c>
      <c r="K692" t="s">
        <v>9498</v>
      </c>
      <c r="L692" t="s">
        <v>74</v>
      </c>
      <c r="M692" t="s">
        <v>77</v>
      </c>
      <c r="N692" t="s">
        <v>947</v>
      </c>
      <c r="O692" t="s">
        <v>9499</v>
      </c>
      <c r="P692">
        <v>2000</v>
      </c>
      <c r="Q692" t="s">
        <v>9500</v>
      </c>
      <c r="R692" t="s">
        <v>74</v>
      </c>
      <c r="S692" t="s">
        <v>74</v>
      </c>
      <c r="T692" t="s">
        <v>74</v>
      </c>
      <c r="U692" t="s">
        <v>9501</v>
      </c>
      <c r="V692" t="s">
        <v>9502</v>
      </c>
      <c r="W692" t="s">
        <v>9503</v>
      </c>
      <c r="X692" t="s">
        <v>9504</v>
      </c>
      <c r="Y692" t="s">
        <v>9505</v>
      </c>
      <c r="Z692" t="s">
        <v>74</v>
      </c>
      <c r="AA692" t="s">
        <v>74</v>
      </c>
      <c r="AB692" t="s">
        <v>74</v>
      </c>
      <c r="AC692" t="s">
        <v>74</v>
      </c>
      <c r="AD692" t="s">
        <v>74</v>
      </c>
      <c r="AE692" t="s">
        <v>74</v>
      </c>
      <c r="AF692" t="s">
        <v>74</v>
      </c>
      <c r="AG692">
        <v>51</v>
      </c>
      <c r="AH692">
        <v>9</v>
      </c>
      <c r="AI692">
        <v>14</v>
      </c>
      <c r="AJ692">
        <v>0</v>
      </c>
      <c r="AK692">
        <v>22</v>
      </c>
      <c r="AL692" t="s">
        <v>581</v>
      </c>
      <c r="AM692" t="s">
        <v>162</v>
      </c>
      <c r="AN692" t="s">
        <v>9506</v>
      </c>
      <c r="AO692" t="s">
        <v>9507</v>
      </c>
      <c r="AP692" t="s">
        <v>74</v>
      </c>
      <c r="AQ692" t="s">
        <v>9508</v>
      </c>
      <c r="AR692" t="s">
        <v>9509</v>
      </c>
      <c r="AS692" t="s">
        <v>9510</v>
      </c>
      <c r="AT692" t="s">
        <v>74</v>
      </c>
      <c r="AU692">
        <v>2002</v>
      </c>
      <c r="AV692">
        <v>826</v>
      </c>
      <c r="AW692" t="s">
        <v>74</v>
      </c>
      <c r="AX692" t="s">
        <v>74</v>
      </c>
      <c r="AY692" t="s">
        <v>74</v>
      </c>
      <c r="AZ692" t="s">
        <v>74</v>
      </c>
      <c r="BA692" t="s">
        <v>74</v>
      </c>
      <c r="BB692">
        <v>81</v>
      </c>
      <c r="BC692">
        <v>100</v>
      </c>
      <c r="BD692" t="s">
        <v>74</v>
      </c>
      <c r="BE692" t="s">
        <v>74</v>
      </c>
      <c r="BF692" t="s">
        <v>74</v>
      </c>
      <c r="BG692" t="s">
        <v>74</v>
      </c>
      <c r="BH692" t="s">
        <v>74</v>
      </c>
      <c r="BI692">
        <v>20</v>
      </c>
      <c r="BJ692" t="s">
        <v>9511</v>
      </c>
      <c r="BK692" t="s">
        <v>744</v>
      </c>
      <c r="BL692" t="s">
        <v>9512</v>
      </c>
      <c r="BM692" t="s">
        <v>9513</v>
      </c>
      <c r="BN692" t="s">
        <v>74</v>
      </c>
      <c r="BO692" t="s">
        <v>74</v>
      </c>
      <c r="BP692" t="s">
        <v>74</v>
      </c>
      <c r="BQ692" t="s">
        <v>74</v>
      </c>
      <c r="BR692" t="s">
        <v>107</v>
      </c>
      <c r="BS692" t="s">
        <v>9514</v>
      </c>
      <c r="BT692" t="str">
        <f>HYPERLINK("https%3A%2F%2Fwww.webofscience.com%2Fwos%2Fwoscc%2Ffull-record%2FWOS:000181054000004","View Full Record in Web of Science")</f>
        <v>View Full Record in Web of Science</v>
      </c>
    </row>
    <row r="693" spans="1:72" x14ac:dyDescent="0.15">
      <c r="A693" t="s">
        <v>72</v>
      </c>
      <c r="B693" t="s">
        <v>9515</v>
      </c>
      <c r="C693" t="s">
        <v>74</v>
      </c>
      <c r="D693" t="s">
        <v>74</v>
      </c>
      <c r="E693" t="s">
        <v>74</v>
      </c>
      <c r="F693" t="s">
        <v>9515</v>
      </c>
      <c r="G693" t="s">
        <v>74</v>
      </c>
      <c r="H693" t="s">
        <v>74</v>
      </c>
      <c r="I693" t="s">
        <v>9516</v>
      </c>
      <c r="J693" t="s">
        <v>9517</v>
      </c>
      <c r="K693" t="s">
        <v>74</v>
      </c>
      <c r="L693" t="s">
        <v>74</v>
      </c>
      <c r="M693" t="s">
        <v>77</v>
      </c>
      <c r="N693" t="s">
        <v>153</v>
      </c>
      <c r="O693" t="s">
        <v>74</v>
      </c>
      <c r="P693" t="s">
        <v>74</v>
      </c>
      <c r="Q693" t="s">
        <v>74</v>
      </c>
      <c r="R693" t="s">
        <v>74</v>
      </c>
      <c r="S693" t="s">
        <v>74</v>
      </c>
      <c r="T693" t="s">
        <v>9518</v>
      </c>
      <c r="U693" t="s">
        <v>9519</v>
      </c>
      <c r="V693" t="s">
        <v>9520</v>
      </c>
      <c r="W693" t="s">
        <v>9521</v>
      </c>
      <c r="X693" t="s">
        <v>7368</v>
      </c>
      <c r="Y693" t="s">
        <v>9522</v>
      </c>
      <c r="Z693" t="s">
        <v>9523</v>
      </c>
      <c r="AA693" t="s">
        <v>74</v>
      </c>
      <c r="AB693" t="s">
        <v>74</v>
      </c>
      <c r="AC693" t="s">
        <v>74</v>
      </c>
      <c r="AD693" t="s">
        <v>74</v>
      </c>
      <c r="AE693" t="s">
        <v>74</v>
      </c>
      <c r="AF693" t="s">
        <v>74</v>
      </c>
      <c r="AG693">
        <v>80</v>
      </c>
      <c r="AH693">
        <v>20</v>
      </c>
      <c r="AI693">
        <v>23</v>
      </c>
      <c r="AJ693">
        <v>0</v>
      </c>
      <c r="AK693">
        <v>10</v>
      </c>
      <c r="AL693" t="s">
        <v>9524</v>
      </c>
      <c r="AM693" t="s">
        <v>1127</v>
      </c>
      <c r="AN693" t="s">
        <v>9525</v>
      </c>
      <c r="AO693" t="s">
        <v>9526</v>
      </c>
      <c r="AP693" t="s">
        <v>9527</v>
      </c>
      <c r="AQ693" t="s">
        <v>74</v>
      </c>
      <c r="AR693" t="s">
        <v>9517</v>
      </c>
      <c r="AS693" t="s">
        <v>9528</v>
      </c>
      <c r="AT693" t="s">
        <v>74</v>
      </c>
      <c r="AU693">
        <v>2002</v>
      </c>
      <c r="AV693">
        <v>12</v>
      </c>
      <c r="AW693">
        <v>4</v>
      </c>
      <c r="AX693" t="s">
        <v>74</v>
      </c>
      <c r="AY693" t="s">
        <v>74</v>
      </c>
      <c r="AZ693" t="s">
        <v>74</v>
      </c>
      <c r="BA693" t="s">
        <v>74</v>
      </c>
      <c r="BB693">
        <v>401</v>
      </c>
      <c r="BC693">
        <v>419</v>
      </c>
      <c r="BD693" t="s">
        <v>74</v>
      </c>
      <c r="BE693" t="s">
        <v>9529</v>
      </c>
      <c r="BF693" t="str">
        <f>HYPERLINK("http://dx.doi.org/10.1191/0959683602hl546rp","http://dx.doi.org/10.1191/0959683602hl546rp")</f>
        <v>http://dx.doi.org/10.1191/0959683602hl546rp</v>
      </c>
      <c r="BG693" t="s">
        <v>74</v>
      </c>
      <c r="BH693" t="s">
        <v>74</v>
      </c>
      <c r="BI693">
        <v>19</v>
      </c>
      <c r="BJ693" t="s">
        <v>1218</v>
      </c>
      <c r="BK693" t="s">
        <v>170</v>
      </c>
      <c r="BL693" t="s">
        <v>224</v>
      </c>
      <c r="BM693" t="s">
        <v>9530</v>
      </c>
      <c r="BN693" t="s">
        <v>74</v>
      </c>
      <c r="BO693" t="s">
        <v>74</v>
      </c>
      <c r="BP693" t="s">
        <v>74</v>
      </c>
      <c r="BQ693" t="s">
        <v>74</v>
      </c>
      <c r="BR693" t="s">
        <v>107</v>
      </c>
      <c r="BS693" t="s">
        <v>9531</v>
      </c>
      <c r="BT693" t="str">
        <f>HYPERLINK("https%3A%2F%2Fwww.webofscience.com%2Fwos%2Fwoscc%2Ffull-record%2FWOS:000176583900003","View Full Record in Web of Science")</f>
        <v>View Full Record in Web of Science</v>
      </c>
    </row>
    <row r="694" spans="1:72" x14ac:dyDescent="0.15">
      <c r="A694" t="s">
        <v>72</v>
      </c>
      <c r="B694" t="s">
        <v>9532</v>
      </c>
      <c r="C694" t="s">
        <v>74</v>
      </c>
      <c r="D694" t="s">
        <v>74</v>
      </c>
      <c r="E694" t="s">
        <v>74</v>
      </c>
      <c r="F694" t="s">
        <v>9532</v>
      </c>
      <c r="G694" t="s">
        <v>74</v>
      </c>
      <c r="H694" t="s">
        <v>74</v>
      </c>
      <c r="I694" t="s">
        <v>9533</v>
      </c>
      <c r="J694" t="s">
        <v>9534</v>
      </c>
      <c r="K694" t="s">
        <v>74</v>
      </c>
      <c r="L694" t="s">
        <v>74</v>
      </c>
      <c r="M694" t="s">
        <v>77</v>
      </c>
      <c r="N694" t="s">
        <v>153</v>
      </c>
      <c r="O694" t="s">
        <v>74</v>
      </c>
      <c r="P694" t="s">
        <v>74</v>
      </c>
      <c r="Q694" t="s">
        <v>74</v>
      </c>
      <c r="R694" t="s">
        <v>74</v>
      </c>
      <c r="S694" t="s">
        <v>74</v>
      </c>
      <c r="T694" t="s">
        <v>9535</v>
      </c>
      <c r="U694" t="s">
        <v>9536</v>
      </c>
      <c r="V694" t="s">
        <v>9537</v>
      </c>
      <c r="W694" t="s">
        <v>9538</v>
      </c>
      <c r="X694" t="s">
        <v>5473</v>
      </c>
      <c r="Y694" t="s">
        <v>9539</v>
      </c>
      <c r="Z694" t="s">
        <v>74</v>
      </c>
      <c r="AA694" t="s">
        <v>9540</v>
      </c>
      <c r="AB694" t="s">
        <v>74</v>
      </c>
      <c r="AC694" t="s">
        <v>74</v>
      </c>
      <c r="AD694" t="s">
        <v>74</v>
      </c>
      <c r="AE694" t="s">
        <v>74</v>
      </c>
      <c r="AF694" t="s">
        <v>74</v>
      </c>
      <c r="AG694">
        <v>31</v>
      </c>
      <c r="AH694">
        <v>15</v>
      </c>
      <c r="AI694">
        <v>20</v>
      </c>
      <c r="AJ694">
        <v>0</v>
      </c>
      <c r="AK694">
        <v>4</v>
      </c>
      <c r="AL694" t="s">
        <v>1418</v>
      </c>
      <c r="AM694" t="s">
        <v>195</v>
      </c>
      <c r="AN694" t="s">
        <v>1419</v>
      </c>
      <c r="AO694" t="s">
        <v>9541</v>
      </c>
      <c r="AP694" t="s">
        <v>74</v>
      </c>
      <c r="AQ694" t="s">
        <v>74</v>
      </c>
      <c r="AR694" t="s">
        <v>9542</v>
      </c>
      <c r="AS694" t="s">
        <v>9543</v>
      </c>
      <c r="AT694" t="s">
        <v>7127</v>
      </c>
      <c r="AU694">
        <v>2002</v>
      </c>
      <c r="AV694">
        <v>27</v>
      </c>
      <c r="AW694">
        <v>1</v>
      </c>
      <c r="AX694" t="s">
        <v>74</v>
      </c>
      <c r="AY694" t="s">
        <v>74</v>
      </c>
      <c r="AZ694" t="s">
        <v>74</v>
      </c>
      <c r="BA694" t="s">
        <v>74</v>
      </c>
      <c r="BB694">
        <v>130</v>
      </c>
      <c r="BC694">
        <v>138</v>
      </c>
      <c r="BD694" t="s">
        <v>9544</v>
      </c>
      <c r="BE694" t="s">
        <v>9545</v>
      </c>
      <c r="BF694" t="str">
        <f>HYPERLINK("http://dx.doi.org/10.1109/48.989899","http://dx.doi.org/10.1109/48.989899")</f>
        <v>http://dx.doi.org/10.1109/48.989899</v>
      </c>
      <c r="BG694" t="s">
        <v>74</v>
      </c>
      <c r="BH694" t="s">
        <v>74</v>
      </c>
      <c r="BI694">
        <v>9</v>
      </c>
      <c r="BJ694" t="s">
        <v>9546</v>
      </c>
      <c r="BK694" t="s">
        <v>170</v>
      </c>
      <c r="BL694" t="s">
        <v>9547</v>
      </c>
      <c r="BM694" t="s">
        <v>9548</v>
      </c>
      <c r="BN694" t="s">
        <v>74</v>
      </c>
      <c r="BO694" t="s">
        <v>74</v>
      </c>
      <c r="BP694" t="s">
        <v>74</v>
      </c>
      <c r="BQ694" t="s">
        <v>74</v>
      </c>
      <c r="BR694" t="s">
        <v>107</v>
      </c>
      <c r="BS694" t="s">
        <v>9549</v>
      </c>
      <c r="BT694" t="str">
        <f>HYPERLINK("https%3A%2F%2Fwww.webofscience.com%2Fwos%2Fwoscc%2Ffull-record%2FWOS:000174440000014","View Full Record in Web of Science")</f>
        <v>View Full Record in Web of Science</v>
      </c>
    </row>
    <row r="695" spans="1:72" x14ac:dyDescent="0.15">
      <c r="A695" t="s">
        <v>6989</v>
      </c>
      <c r="B695" t="s">
        <v>9550</v>
      </c>
      <c r="C695" t="s">
        <v>74</v>
      </c>
      <c r="D695" t="s">
        <v>74</v>
      </c>
      <c r="E695" t="s">
        <v>9551</v>
      </c>
      <c r="F695" t="s">
        <v>9550</v>
      </c>
      <c r="G695" t="s">
        <v>74</v>
      </c>
      <c r="H695" t="s">
        <v>74</v>
      </c>
      <c r="I695" t="s">
        <v>9552</v>
      </c>
      <c r="J695" t="s">
        <v>9553</v>
      </c>
      <c r="K695" t="s">
        <v>9554</v>
      </c>
      <c r="L695" t="s">
        <v>74</v>
      </c>
      <c r="M695" t="s">
        <v>77</v>
      </c>
      <c r="N695" t="s">
        <v>6994</v>
      </c>
      <c r="O695" t="s">
        <v>9555</v>
      </c>
      <c r="P695" t="s">
        <v>9556</v>
      </c>
      <c r="Q695" t="s">
        <v>9557</v>
      </c>
      <c r="R695" t="s">
        <v>74</v>
      </c>
      <c r="S695" t="s">
        <v>74</v>
      </c>
      <c r="T695" t="s">
        <v>74</v>
      </c>
      <c r="U695" t="s">
        <v>9558</v>
      </c>
      <c r="V695" t="s">
        <v>9559</v>
      </c>
      <c r="W695" t="s">
        <v>9560</v>
      </c>
      <c r="X695" t="s">
        <v>3418</v>
      </c>
      <c r="Y695" t="s">
        <v>7330</v>
      </c>
      <c r="Z695" t="s">
        <v>9561</v>
      </c>
      <c r="AA695" t="s">
        <v>9562</v>
      </c>
      <c r="AB695" t="s">
        <v>74</v>
      </c>
      <c r="AC695" t="s">
        <v>74</v>
      </c>
      <c r="AD695" t="s">
        <v>74</v>
      </c>
      <c r="AE695" t="s">
        <v>74</v>
      </c>
      <c r="AF695" t="s">
        <v>74</v>
      </c>
      <c r="AG695">
        <v>13</v>
      </c>
      <c r="AH695">
        <v>1</v>
      </c>
      <c r="AI695">
        <v>1</v>
      </c>
      <c r="AJ695">
        <v>2</v>
      </c>
      <c r="AK695">
        <v>5</v>
      </c>
      <c r="AL695" t="s">
        <v>7040</v>
      </c>
      <c r="AM695" t="s">
        <v>195</v>
      </c>
      <c r="AN695" t="s">
        <v>7041</v>
      </c>
      <c r="AO695" t="s">
        <v>9563</v>
      </c>
      <c r="AP695" t="s">
        <v>74</v>
      </c>
      <c r="AQ695" t="s">
        <v>9564</v>
      </c>
      <c r="AR695" t="s">
        <v>9565</v>
      </c>
      <c r="AS695" t="s">
        <v>74</v>
      </c>
      <c r="AT695" t="s">
        <v>74</v>
      </c>
      <c r="AU695">
        <v>2002</v>
      </c>
      <c r="AV695" t="s">
        <v>74</v>
      </c>
      <c r="AW695" t="s">
        <v>74</v>
      </c>
      <c r="AX695" t="s">
        <v>74</v>
      </c>
      <c r="AY695" t="s">
        <v>74</v>
      </c>
      <c r="AZ695" t="s">
        <v>74</v>
      </c>
      <c r="BA695" t="s">
        <v>74</v>
      </c>
      <c r="BB695">
        <v>1047</v>
      </c>
      <c r="BC695">
        <v>1050</v>
      </c>
      <c r="BD695" t="s">
        <v>74</v>
      </c>
      <c r="BE695" t="s">
        <v>74</v>
      </c>
      <c r="BF695" t="s">
        <v>74</v>
      </c>
      <c r="BG695" t="s">
        <v>74</v>
      </c>
      <c r="BH695" t="s">
        <v>74</v>
      </c>
      <c r="BI695">
        <v>4</v>
      </c>
      <c r="BJ695" t="s">
        <v>9566</v>
      </c>
      <c r="BK695" t="s">
        <v>7004</v>
      </c>
      <c r="BL695" t="s">
        <v>9567</v>
      </c>
      <c r="BM695" t="s">
        <v>9568</v>
      </c>
      <c r="BN695" t="s">
        <v>74</v>
      </c>
      <c r="BO695" t="s">
        <v>74</v>
      </c>
      <c r="BP695" t="s">
        <v>74</v>
      </c>
      <c r="BQ695" t="s">
        <v>74</v>
      </c>
      <c r="BR695" t="s">
        <v>107</v>
      </c>
      <c r="BS695" t="s">
        <v>9569</v>
      </c>
      <c r="BT695" t="str">
        <f>HYPERLINK("https%3A%2F%2Fwww.webofscience.com%2Fwos%2Fwoscc%2Ffull-record%2FWOS:000179116800343","View Full Record in Web of Science")</f>
        <v>View Full Record in Web of Science</v>
      </c>
    </row>
    <row r="696" spans="1:72" x14ac:dyDescent="0.15">
      <c r="A696" t="s">
        <v>6989</v>
      </c>
      <c r="B696" t="s">
        <v>9570</v>
      </c>
      <c r="C696" t="s">
        <v>74</v>
      </c>
      <c r="D696" t="s">
        <v>74</v>
      </c>
      <c r="E696" t="s">
        <v>9551</v>
      </c>
      <c r="F696" t="s">
        <v>9570</v>
      </c>
      <c r="G696" t="s">
        <v>74</v>
      </c>
      <c r="H696" t="s">
        <v>74</v>
      </c>
      <c r="I696" t="s">
        <v>9571</v>
      </c>
      <c r="J696" t="s">
        <v>9553</v>
      </c>
      <c r="K696" t="s">
        <v>9572</v>
      </c>
      <c r="L696" t="s">
        <v>74</v>
      </c>
      <c r="M696" t="s">
        <v>77</v>
      </c>
      <c r="N696" t="s">
        <v>6994</v>
      </c>
      <c r="O696" t="s">
        <v>9555</v>
      </c>
      <c r="P696" t="s">
        <v>9556</v>
      </c>
      <c r="Q696" t="s">
        <v>9557</v>
      </c>
      <c r="R696" t="s">
        <v>74</v>
      </c>
      <c r="S696" t="s">
        <v>74</v>
      </c>
      <c r="T696" t="s">
        <v>9573</v>
      </c>
      <c r="U696" t="s">
        <v>74</v>
      </c>
      <c r="V696" t="s">
        <v>9574</v>
      </c>
      <c r="W696" t="s">
        <v>9575</v>
      </c>
      <c r="X696" t="s">
        <v>9576</v>
      </c>
      <c r="Y696" t="s">
        <v>9577</v>
      </c>
      <c r="Z696" t="s">
        <v>74</v>
      </c>
      <c r="AA696" t="s">
        <v>74</v>
      </c>
      <c r="AB696" t="s">
        <v>74</v>
      </c>
      <c r="AC696" t="s">
        <v>74</v>
      </c>
      <c r="AD696" t="s">
        <v>74</v>
      </c>
      <c r="AE696" t="s">
        <v>74</v>
      </c>
      <c r="AF696" t="s">
        <v>74</v>
      </c>
      <c r="AG696">
        <v>7</v>
      </c>
      <c r="AH696">
        <v>0</v>
      </c>
      <c r="AI696">
        <v>0</v>
      </c>
      <c r="AJ696">
        <v>1</v>
      </c>
      <c r="AK696">
        <v>2</v>
      </c>
      <c r="AL696" t="s">
        <v>7040</v>
      </c>
      <c r="AM696" t="s">
        <v>195</v>
      </c>
      <c r="AN696" t="s">
        <v>7041</v>
      </c>
      <c r="AO696" t="s">
        <v>74</v>
      </c>
      <c r="AP696" t="s">
        <v>74</v>
      </c>
      <c r="AQ696" t="s">
        <v>9564</v>
      </c>
      <c r="AR696" t="s">
        <v>9565</v>
      </c>
      <c r="AS696" t="s">
        <v>74</v>
      </c>
      <c r="AT696" t="s">
        <v>74</v>
      </c>
      <c r="AU696">
        <v>2002</v>
      </c>
      <c r="AV696" t="s">
        <v>74</v>
      </c>
      <c r="AW696" t="s">
        <v>74</v>
      </c>
      <c r="AX696" t="s">
        <v>74</v>
      </c>
      <c r="AY696" t="s">
        <v>74</v>
      </c>
      <c r="AZ696" t="s">
        <v>74</v>
      </c>
      <c r="BA696" t="s">
        <v>74</v>
      </c>
      <c r="BB696">
        <v>2100</v>
      </c>
      <c r="BC696">
        <v>2102</v>
      </c>
      <c r="BD696" t="s">
        <v>74</v>
      </c>
      <c r="BE696" t="s">
        <v>74</v>
      </c>
      <c r="BF696" t="s">
        <v>74</v>
      </c>
      <c r="BG696" t="s">
        <v>74</v>
      </c>
      <c r="BH696" t="s">
        <v>74</v>
      </c>
      <c r="BI696">
        <v>3</v>
      </c>
      <c r="BJ696" t="s">
        <v>9566</v>
      </c>
      <c r="BK696" t="s">
        <v>7004</v>
      </c>
      <c r="BL696" t="s">
        <v>9567</v>
      </c>
      <c r="BM696" t="s">
        <v>9568</v>
      </c>
      <c r="BN696" t="s">
        <v>74</v>
      </c>
      <c r="BO696" t="s">
        <v>74</v>
      </c>
      <c r="BP696" t="s">
        <v>74</v>
      </c>
      <c r="BQ696" t="s">
        <v>74</v>
      </c>
      <c r="BR696" t="s">
        <v>107</v>
      </c>
      <c r="BS696" t="s">
        <v>9578</v>
      </c>
      <c r="BT696" t="str">
        <f>HYPERLINK("https%3A%2F%2Fwww.webofscience.com%2Fwos%2Fwoscc%2Ffull-record%2FWOS:000179116800684","View Full Record in Web of Science")</f>
        <v>View Full Record in Web of Science</v>
      </c>
    </row>
    <row r="697" spans="1:72" x14ac:dyDescent="0.15">
      <c r="A697" t="s">
        <v>6989</v>
      </c>
      <c r="B697" t="s">
        <v>9579</v>
      </c>
      <c r="C697" t="s">
        <v>74</v>
      </c>
      <c r="D697" t="s">
        <v>74</v>
      </c>
      <c r="E697" t="s">
        <v>9551</v>
      </c>
      <c r="F697" t="s">
        <v>9579</v>
      </c>
      <c r="G697" t="s">
        <v>74</v>
      </c>
      <c r="H697" t="s">
        <v>74</v>
      </c>
      <c r="I697" t="s">
        <v>9580</v>
      </c>
      <c r="J697" t="s">
        <v>9553</v>
      </c>
      <c r="K697" t="s">
        <v>9554</v>
      </c>
      <c r="L697" t="s">
        <v>74</v>
      </c>
      <c r="M697" t="s">
        <v>77</v>
      </c>
      <c r="N697" t="s">
        <v>6994</v>
      </c>
      <c r="O697" t="s">
        <v>9555</v>
      </c>
      <c r="P697" t="s">
        <v>9556</v>
      </c>
      <c r="Q697" t="s">
        <v>9557</v>
      </c>
      <c r="R697" t="s">
        <v>74</v>
      </c>
      <c r="S697" t="s">
        <v>74</v>
      </c>
      <c r="T697" t="s">
        <v>74</v>
      </c>
      <c r="U697" t="s">
        <v>9581</v>
      </c>
      <c r="V697" t="s">
        <v>9582</v>
      </c>
      <c r="W697" t="s">
        <v>9583</v>
      </c>
      <c r="X697" t="s">
        <v>9584</v>
      </c>
      <c r="Y697" t="s">
        <v>9585</v>
      </c>
      <c r="Z697" t="s">
        <v>9586</v>
      </c>
      <c r="AA697" t="s">
        <v>74</v>
      </c>
      <c r="AB697" t="s">
        <v>74</v>
      </c>
      <c r="AC697" t="s">
        <v>74</v>
      </c>
      <c r="AD697" t="s">
        <v>74</v>
      </c>
      <c r="AE697" t="s">
        <v>74</v>
      </c>
      <c r="AF697" t="s">
        <v>74</v>
      </c>
      <c r="AG697">
        <v>6</v>
      </c>
      <c r="AH697">
        <v>2</v>
      </c>
      <c r="AI697">
        <v>3</v>
      </c>
      <c r="AJ697">
        <v>0</v>
      </c>
      <c r="AK697">
        <v>0</v>
      </c>
      <c r="AL697" t="s">
        <v>7040</v>
      </c>
      <c r="AM697" t="s">
        <v>195</v>
      </c>
      <c r="AN697" t="s">
        <v>7041</v>
      </c>
      <c r="AO697" t="s">
        <v>9563</v>
      </c>
      <c r="AP697" t="s">
        <v>74</v>
      </c>
      <c r="AQ697" t="s">
        <v>9564</v>
      </c>
      <c r="AR697" t="s">
        <v>9565</v>
      </c>
      <c r="AS697" t="s">
        <v>74</v>
      </c>
      <c r="AT697" t="s">
        <v>74</v>
      </c>
      <c r="AU697">
        <v>2002</v>
      </c>
      <c r="AV697" t="s">
        <v>74</v>
      </c>
      <c r="AW697" t="s">
        <v>74</v>
      </c>
      <c r="AX697" t="s">
        <v>74</v>
      </c>
      <c r="AY697" t="s">
        <v>74</v>
      </c>
      <c r="AZ697" t="s">
        <v>74</v>
      </c>
      <c r="BA697" t="s">
        <v>74</v>
      </c>
      <c r="BB697">
        <v>2173</v>
      </c>
      <c r="BC697">
        <v>2175</v>
      </c>
      <c r="BD697" t="s">
        <v>74</v>
      </c>
      <c r="BE697" t="s">
        <v>74</v>
      </c>
      <c r="BF697" t="s">
        <v>74</v>
      </c>
      <c r="BG697" t="s">
        <v>74</v>
      </c>
      <c r="BH697" t="s">
        <v>74</v>
      </c>
      <c r="BI697">
        <v>3</v>
      </c>
      <c r="BJ697" t="s">
        <v>9566</v>
      </c>
      <c r="BK697" t="s">
        <v>7004</v>
      </c>
      <c r="BL697" t="s">
        <v>9567</v>
      </c>
      <c r="BM697" t="s">
        <v>9568</v>
      </c>
      <c r="BN697" t="s">
        <v>74</v>
      </c>
      <c r="BO697" t="s">
        <v>74</v>
      </c>
      <c r="BP697" t="s">
        <v>74</v>
      </c>
      <c r="BQ697" t="s">
        <v>74</v>
      </c>
      <c r="BR697" t="s">
        <v>107</v>
      </c>
      <c r="BS697" t="s">
        <v>9587</v>
      </c>
      <c r="BT697" t="str">
        <f>HYPERLINK("https%3A%2F%2Fwww.webofscience.com%2Fwos%2Fwoscc%2Ffull-record%2FWOS:000179116800709","View Full Record in Web of Science")</f>
        <v>View Full Record in Web of Science</v>
      </c>
    </row>
    <row r="698" spans="1:72" x14ac:dyDescent="0.15">
      <c r="A698" t="s">
        <v>6989</v>
      </c>
      <c r="B698" t="s">
        <v>9588</v>
      </c>
      <c r="C698" t="s">
        <v>74</v>
      </c>
      <c r="D698" t="s">
        <v>74</v>
      </c>
      <c r="E698" t="s">
        <v>9551</v>
      </c>
      <c r="F698" t="s">
        <v>9588</v>
      </c>
      <c r="G698" t="s">
        <v>74</v>
      </c>
      <c r="H698" t="s">
        <v>74</v>
      </c>
      <c r="I698" t="s">
        <v>9589</v>
      </c>
      <c r="J698" t="s">
        <v>9553</v>
      </c>
      <c r="K698" t="s">
        <v>9572</v>
      </c>
      <c r="L698" t="s">
        <v>74</v>
      </c>
      <c r="M698" t="s">
        <v>77</v>
      </c>
      <c r="N698" t="s">
        <v>6994</v>
      </c>
      <c r="O698" t="s">
        <v>9555</v>
      </c>
      <c r="P698" t="s">
        <v>9556</v>
      </c>
      <c r="Q698" t="s">
        <v>9557</v>
      </c>
      <c r="R698" t="s">
        <v>74</v>
      </c>
      <c r="S698" t="s">
        <v>74</v>
      </c>
      <c r="T698" t="s">
        <v>74</v>
      </c>
      <c r="U698" t="s">
        <v>74</v>
      </c>
      <c r="V698" t="s">
        <v>9590</v>
      </c>
      <c r="W698" t="s">
        <v>9591</v>
      </c>
      <c r="X698" t="s">
        <v>9592</v>
      </c>
      <c r="Y698" t="s">
        <v>9593</v>
      </c>
      <c r="Z698" t="s">
        <v>74</v>
      </c>
      <c r="AA698" t="s">
        <v>1416</v>
      </c>
      <c r="AB698" t="s">
        <v>1417</v>
      </c>
      <c r="AC698" t="s">
        <v>74</v>
      </c>
      <c r="AD698" t="s">
        <v>74</v>
      </c>
      <c r="AE698" t="s">
        <v>74</v>
      </c>
      <c r="AF698" t="s">
        <v>74</v>
      </c>
      <c r="AG698">
        <v>4</v>
      </c>
      <c r="AH698">
        <v>12</v>
      </c>
      <c r="AI698">
        <v>15</v>
      </c>
      <c r="AJ698">
        <v>0</v>
      </c>
      <c r="AK698">
        <v>4</v>
      </c>
      <c r="AL698" t="s">
        <v>7040</v>
      </c>
      <c r="AM698" t="s">
        <v>195</v>
      </c>
      <c r="AN698" t="s">
        <v>7041</v>
      </c>
      <c r="AO698" t="s">
        <v>74</v>
      </c>
      <c r="AP698" t="s">
        <v>74</v>
      </c>
      <c r="AQ698" t="s">
        <v>9564</v>
      </c>
      <c r="AR698" t="s">
        <v>9565</v>
      </c>
      <c r="AS698" t="s">
        <v>74</v>
      </c>
      <c r="AT698" t="s">
        <v>74</v>
      </c>
      <c r="AU698">
        <v>2002</v>
      </c>
      <c r="AV698" t="s">
        <v>74</v>
      </c>
      <c r="AW698" t="s">
        <v>74</v>
      </c>
      <c r="AX698" t="s">
        <v>74</v>
      </c>
      <c r="AY698" t="s">
        <v>74</v>
      </c>
      <c r="AZ698" t="s">
        <v>74</v>
      </c>
      <c r="BA698" t="s">
        <v>74</v>
      </c>
      <c r="BB698">
        <v>3029</v>
      </c>
      <c r="BC698">
        <v>3031</v>
      </c>
      <c r="BD698" t="s">
        <v>74</v>
      </c>
      <c r="BE698" t="s">
        <v>74</v>
      </c>
      <c r="BF698" t="s">
        <v>74</v>
      </c>
      <c r="BG698" t="s">
        <v>74</v>
      </c>
      <c r="BH698" t="s">
        <v>74</v>
      </c>
      <c r="BI698">
        <v>3</v>
      </c>
      <c r="BJ698" t="s">
        <v>9566</v>
      </c>
      <c r="BK698" t="s">
        <v>7004</v>
      </c>
      <c r="BL698" t="s">
        <v>9567</v>
      </c>
      <c r="BM698" t="s">
        <v>9568</v>
      </c>
      <c r="BN698" t="s">
        <v>74</v>
      </c>
      <c r="BO698" t="s">
        <v>665</v>
      </c>
      <c r="BP698" t="s">
        <v>74</v>
      </c>
      <c r="BQ698" t="s">
        <v>74</v>
      </c>
      <c r="BR698" t="s">
        <v>107</v>
      </c>
      <c r="BS698" t="s">
        <v>9594</v>
      </c>
      <c r="BT698" t="str">
        <f>HYPERLINK("https%3A%2F%2Fwww.webofscience.com%2Fwos%2Fwoscc%2Ffull-record%2FWOS:000179116800985","View Full Record in Web of Science")</f>
        <v>View Full Record in Web of Science</v>
      </c>
    </row>
    <row r="699" spans="1:72" x14ac:dyDescent="0.15">
      <c r="A699" t="s">
        <v>6989</v>
      </c>
      <c r="B699" t="s">
        <v>9595</v>
      </c>
      <c r="C699" t="s">
        <v>74</v>
      </c>
      <c r="D699" t="s">
        <v>74</v>
      </c>
      <c r="E699" t="s">
        <v>9551</v>
      </c>
      <c r="F699" t="s">
        <v>9595</v>
      </c>
      <c r="G699" t="s">
        <v>74</v>
      </c>
      <c r="H699" t="s">
        <v>74</v>
      </c>
      <c r="I699" t="s">
        <v>9596</v>
      </c>
      <c r="J699" t="s">
        <v>9553</v>
      </c>
      <c r="K699" t="s">
        <v>9572</v>
      </c>
      <c r="L699" t="s">
        <v>74</v>
      </c>
      <c r="M699" t="s">
        <v>77</v>
      </c>
      <c r="N699" t="s">
        <v>6994</v>
      </c>
      <c r="O699" t="s">
        <v>9555</v>
      </c>
      <c r="P699" t="s">
        <v>9556</v>
      </c>
      <c r="Q699" t="s">
        <v>9557</v>
      </c>
      <c r="R699" t="s">
        <v>74</v>
      </c>
      <c r="S699" t="s">
        <v>74</v>
      </c>
      <c r="T699" t="s">
        <v>74</v>
      </c>
      <c r="U699" t="s">
        <v>74</v>
      </c>
      <c r="V699" t="s">
        <v>9597</v>
      </c>
      <c r="W699" t="s">
        <v>9598</v>
      </c>
      <c r="X699" t="s">
        <v>74</v>
      </c>
      <c r="Y699" t="s">
        <v>9599</v>
      </c>
      <c r="Z699" t="s">
        <v>74</v>
      </c>
      <c r="AA699" t="s">
        <v>74</v>
      </c>
      <c r="AB699" t="s">
        <v>74</v>
      </c>
      <c r="AC699" t="s">
        <v>74</v>
      </c>
      <c r="AD699" t="s">
        <v>74</v>
      </c>
      <c r="AE699" t="s">
        <v>74</v>
      </c>
      <c r="AF699" t="s">
        <v>74</v>
      </c>
      <c r="AG699">
        <v>5</v>
      </c>
      <c r="AH699">
        <v>0</v>
      </c>
      <c r="AI699">
        <v>0</v>
      </c>
      <c r="AJ699">
        <v>0</v>
      </c>
      <c r="AK699">
        <v>1</v>
      </c>
      <c r="AL699" t="s">
        <v>7040</v>
      </c>
      <c r="AM699" t="s">
        <v>195</v>
      </c>
      <c r="AN699" t="s">
        <v>7041</v>
      </c>
      <c r="AO699" t="s">
        <v>74</v>
      </c>
      <c r="AP699" t="s">
        <v>74</v>
      </c>
      <c r="AQ699" t="s">
        <v>9564</v>
      </c>
      <c r="AR699" t="s">
        <v>9565</v>
      </c>
      <c r="AS699" t="s">
        <v>74</v>
      </c>
      <c r="AT699" t="s">
        <v>74</v>
      </c>
      <c r="AU699">
        <v>2002</v>
      </c>
      <c r="AV699" t="s">
        <v>74</v>
      </c>
      <c r="AW699" t="s">
        <v>74</v>
      </c>
      <c r="AX699" t="s">
        <v>74</v>
      </c>
      <c r="AY699" t="s">
        <v>74</v>
      </c>
      <c r="AZ699" t="s">
        <v>74</v>
      </c>
      <c r="BA699" t="s">
        <v>74</v>
      </c>
      <c r="BB699">
        <v>3142</v>
      </c>
      <c r="BC699">
        <v>3144</v>
      </c>
      <c r="BD699" t="s">
        <v>74</v>
      </c>
      <c r="BE699" t="s">
        <v>74</v>
      </c>
      <c r="BF699" t="s">
        <v>74</v>
      </c>
      <c r="BG699" t="s">
        <v>74</v>
      </c>
      <c r="BH699" t="s">
        <v>74</v>
      </c>
      <c r="BI699">
        <v>3</v>
      </c>
      <c r="BJ699" t="s">
        <v>9566</v>
      </c>
      <c r="BK699" t="s">
        <v>7004</v>
      </c>
      <c r="BL699" t="s">
        <v>9567</v>
      </c>
      <c r="BM699" t="s">
        <v>9568</v>
      </c>
      <c r="BN699" t="s">
        <v>74</v>
      </c>
      <c r="BO699" t="s">
        <v>74</v>
      </c>
      <c r="BP699" t="s">
        <v>74</v>
      </c>
      <c r="BQ699" t="s">
        <v>74</v>
      </c>
      <c r="BR699" t="s">
        <v>107</v>
      </c>
      <c r="BS699" t="s">
        <v>9600</v>
      </c>
      <c r="BT699" t="str">
        <f>HYPERLINK("https%3A%2F%2Fwww.webofscience.com%2Fwos%2Fwoscc%2Ffull-record%2FWOS:000179116801022","View Full Record in Web of Science")</f>
        <v>View Full Record in Web of Science</v>
      </c>
    </row>
    <row r="700" spans="1:72" x14ac:dyDescent="0.15">
      <c r="A700" t="s">
        <v>6989</v>
      </c>
      <c r="B700" t="s">
        <v>9601</v>
      </c>
      <c r="C700" t="s">
        <v>74</v>
      </c>
      <c r="D700" t="s">
        <v>74</v>
      </c>
      <c r="E700" t="s">
        <v>9551</v>
      </c>
      <c r="F700" t="s">
        <v>9601</v>
      </c>
      <c r="G700" t="s">
        <v>74</v>
      </c>
      <c r="H700" t="s">
        <v>74</v>
      </c>
      <c r="I700" t="s">
        <v>9602</v>
      </c>
      <c r="J700" t="s">
        <v>9553</v>
      </c>
      <c r="K700" t="s">
        <v>9572</v>
      </c>
      <c r="L700" t="s">
        <v>74</v>
      </c>
      <c r="M700" t="s">
        <v>77</v>
      </c>
      <c r="N700" t="s">
        <v>6994</v>
      </c>
      <c r="O700" t="s">
        <v>9555</v>
      </c>
      <c r="P700" t="s">
        <v>9556</v>
      </c>
      <c r="Q700" t="s">
        <v>9557</v>
      </c>
      <c r="R700" t="s">
        <v>74</v>
      </c>
      <c r="S700" t="s">
        <v>74</v>
      </c>
      <c r="T700" t="s">
        <v>74</v>
      </c>
      <c r="U700" t="s">
        <v>74</v>
      </c>
      <c r="V700" t="s">
        <v>9603</v>
      </c>
      <c r="W700" t="s">
        <v>9604</v>
      </c>
      <c r="X700" t="s">
        <v>6086</v>
      </c>
      <c r="Y700" t="s">
        <v>9605</v>
      </c>
      <c r="Z700" t="s">
        <v>74</v>
      </c>
      <c r="AA700" t="s">
        <v>9606</v>
      </c>
      <c r="AB700" t="s">
        <v>9607</v>
      </c>
      <c r="AC700" t="s">
        <v>74</v>
      </c>
      <c r="AD700" t="s">
        <v>74</v>
      </c>
      <c r="AE700" t="s">
        <v>74</v>
      </c>
      <c r="AF700" t="s">
        <v>74</v>
      </c>
      <c r="AG700">
        <v>4</v>
      </c>
      <c r="AH700">
        <v>4</v>
      </c>
      <c r="AI700">
        <v>4</v>
      </c>
      <c r="AJ700">
        <v>0</v>
      </c>
      <c r="AK700">
        <v>4</v>
      </c>
      <c r="AL700" t="s">
        <v>7040</v>
      </c>
      <c r="AM700" t="s">
        <v>195</v>
      </c>
      <c r="AN700" t="s">
        <v>7041</v>
      </c>
      <c r="AO700" t="s">
        <v>74</v>
      </c>
      <c r="AP700" t="s">
        <v>74</v>
      </c>
      <c r="AQ700" t="s">
        <v>9564</v>
      </c>
      <c r="AR700" t="s">
        <v>9565</v>
      </c>
      <c r="AS700" t="s">
        <v>74</v>
      </c>
      <c r="AT700" t="s">
        <v>74</v>
      </c>
      <c r="AU700">
        <v>2002</v>
      </c>
      <c r="AV700" t="s">
        <v>74</v>
      </c>
      <c r="AW700" t="s">
        <v>74</v>
      </c>
      <c r="AX700" t="s">
        <v>74</v>
      </c>
      <c r="AY700" t="s">
        <v>74</v>
      </c>
      <c r="AZ700" t="s">
        <v>74</v>
      </c>
      <c r="BA700" t="s">
        <v>74</v>
      </c>
      <c r="BB700">
        <v>3237</v>
      </c>
      <c r="BC700">
        <v>3239</v>
      </c>
      <c r="BD700" t="s">
        <v>74</v>
      </c>
      <c r="BE700" t="s">
        <v>74</v>
      </c>
      <c r="BF700" t="s">
        <v>74</v>
      </c>
      <c r="BG700" t="s">
        <v>74</v>
      </c>
      <c r="BH700" t="s">
        <v>74</v>
      </c>
      <c r="BI700">
        <v>3</v>
      </c>
      <c r="BJ700" t="s">
        <v>9566</v>
      </c>
      <c r="BK700" t="s">
        <v>7004</v>
      </c>
      <c r="BL700" t="s">
        <v>9567</v>
      </c>
      <c r="BM700" t="s">
        <v>9568</v>
      </c>
      <c r="BN700" t="s">
        <v>74</v>
      </c>
      <c r="BO700" t="s">
        <v>74</v>
      </c>
      <c r="BP700" t="s">
        <v>74</v>
      </c>
      <c r="BQ700" t="s">
        <v>74</v>
      </c>
      <c r="BR700" t="s">
        <v>107</v>
      </c>
      <c r="BS700" t="s">
        <v>9608</v>
      </c>
      <c r="BT700" t="str">
        <f>HYPERLINK("https%3A%2F%2Fwww.webofscience.com%2Fwos%2Fwoscc%2Ffull-record%2FWOS:000179116801051","View Full Record in Web of Science")</f>
        <v>View Full Record in Web of Science</v>
      </c>
    </row>
    <row r="701" spans="1:72" x14ac:dyDescent="0.15">
      <c r="A701" t="s">
        <v>6989</v>
      </c>
      <c r="B701" t="s">
        <v>9609</v>
      </c>
      <c r="C701" t="s">
        <v>74</v>
      </c>
      <c r="D701" t="s">
        <v>74</v>
      </c>
      <c r="E701" t="s">
        <v>9551</v>
      </c>
      <c r="F701" t="s">
        <v>9609</v>
      </c>
      <c r="G701" t="s">
        <v>74</v>
      </c>
      <c r="H701" t="s">
        <v>74</v>
      </c>
      <c r="I701" t="s">
        <v>9610</v>
      </c>
      <c r="J701" t="s">
        <v>9553</v>
      </c>
      <c r="K701" t="s">
        <v>9572</v>
      </c>
      <c r="L701" t="s">
        <v>74</v>
      </c>
      <c r="M701" t="s">
        <v>77</v>
      </c>
      <c r="N701" t="s">
        <v>6994</v>
      </c>
      <c r="O701" t="s">
        <v>9555</v>
      </c>
      <c r="P701" t="s">
        <v>9556</v>
      </c>
      <c r="Q701" t="s">
        <v>9557</v>
      </c>
      <c r="R701" t="s">
        <v>74</v>
      </c>
      <c r="S701" t="s">
        <v>74</v>
      </c>
      <c r="T701" t="s">
        <v>74</v>
      </c>
      <c r="U701" t="s">
        <v>74</v>
      </c>
      <c r="V701" t="s">
        <v>9611</v>
      </c>
      <c r="W701" t="s">
        <v>9612</v>
      </c>
      <c r="X701" t="s">
        <v>2770</v>
      </c>
      <c r="Y701" t="s">
        <v>9613</v>
      </c>
      <c r="Z701" t="s">
        <v>74</v>
      </c>
      <c r="AA701" t="s">
        <v>9614</v>
      </c>
      <c r="AB701" t="s">
        <v>9615</v>
      </c>
      <c r="AC701" t="s">
        <v>74</v>
      </c>
      <c r="AD701" t="s">
        <v>74</v>
      </c>
      <c r="AE701" t="s">
        <v>74</v>
      </c>
      <c r="AF701" t="s">
        <v>74</v>
      </c>
      <c r="AG701">
        <v>5</v>
      </c>
      <c r="AH701">
        <v>0</v>
      </c>
      <c r="AI701">
        <v>0</v>
      </c>
      <c r="AJ701">
        <v>1</v>
      </c>
      <c r="AK701">
        <v>1</v>
      </c>
      <c r="AL701" t="s">
        <v>7040</v>
      </c>
      <c r="AM701" t="s">
        <v>195</v>
      </c>
      <c r="AN701" t="s">
        <v>7041</v>
      </c>
      <c r="AO701" t="s">
        <v>74</v>
      </c>
      <c r="AP701" t="s">
        <v>74</v>
      </c>
      <c r="AQ701" t="s">
        <v>9564</v>
      </c>
      <c r="AR701" t="s">
        <v>9565</v>
      </c>
      <c r="AS701" t="s">
        <v>74</v>
      </c>
      <c r="AT701" t="s">
        <v>74</v>
      </c>
      <c r="AU701">
        <v>2002</v>
      </c>
      <c r="AV701" t="s">
        <v>74</v>
      </c>
      <c r="AW701" t="s">
        <v>74</v>
      </c>
      <c r="AX701" t="s">
        <v>74</v>
      </c>
      <c r="AY701" t="s">
        <v>74</v>
      </c>
      <c r="AZ701" t="s">
        <v>74</v>
      </c>
      <c r="BA701" t="s">
        <v>74</v>
      </c>
      <c r="BB701">
        <v>3602</v>
      </c>
      <c r="BC701">
        <v>3604</v>
      </c>
      <c r="BD701" t="s">
        <v>74</v>
      </c>
      <c r="BE701" t="s">
        <v>74</v>
      </c>
      <c r="BF701" t="s">
        <v>74</v>
      </c>
      <c r="BG701" t="s">
        <v>74</v>
      </c>
      <c r="BH701" t="s">
        <v>74</v>
      </c>
      <c r="BI701">
        <v>3</v>
      </c>
      <c r="BJ701" t="s">
        <v>9566</v>
      </c>
      <c r="BK701" t="s">
        <v>7004</v>
      </c>
      <c r="BL701" t="s">
        <v>9567</v>
      </c>
      <c r="BM701" t="s">
        <v>9568</v>
      </c>
      <c r="BN701" t="s">
        <v>74</v>
      </c>
      <c r="BO701" t="s">
        <v>665</v>
      </c>
      <c r="BP701" t="s">
        <v>74</v>
      </c>
      <c r="BQ701" t="s">
        <v>74</v>
      </c>
      <c r="BR701" t="s">
        <v>107</v>
      </c>
      <c r="BS701" t="s">
        <v>9616</v>
      </c>
      <c r="BT701" t="str">
        <f>HYPERLINK("https%3A%2F%2Fwww.webofscience.com%2Fwos%2Fwoscc%2Ffull-record%2FWOS:000179116801172","View Full Record in Web of Science")</f>
        <v>View Full Record in Web of Science</v>
      </c>
    </row>
    <row r="702" spans="1:72" x14ac:dyDescent="0.15">
      <c r="A702" t="s">
        <v>6989</v>
      </c>
      <c r="B702" t="s">
        <v>9617</v>
      </c>
      <c r="C702" t="s">
        <v>74</v>
      </c>
      <c r="D702" t="s">
        <v>9618</v>
      </c>
      <c r="E702" t="s">
        <v>74</v>
      </c>
      <c r="F702" t="s">
        <v>9617</v>
      </c>
      <c r="G702" t="s">
        <v>74</v>
      </c>
      <c r="H702" t="s">
        <v>74</v>
      </c>
      <c r="I702" t="s">
        <v>9619</v>
      </c>
      <c r="J702" t="s">
        <v>9620</v>
      </c>
      <c r="K702" t="s">
        <v>9621</v>
      </c>
      <c r="L702" t="s">
        <v>74</v>
      </c>
      <c r="M702" t="s">
        <v>77</v>
      </c>
      <c r="N702" t="s">
        <v>6994</v>
      </c>
      <c r="O702" t="s">
        <v>9622</v>
      </c>
      <c r="P702" t="s">
        <v>9623</v>
      </c>
      <c r="Q702" t="s">
        <v>9624</v>
      </c>
      <c r="R702" t="s">
        <v>74</v>
      </c>
      <c r="S702" t="s">
        <v>74</v>
      </c>
      <c r="T702" t="s">
        <v>9625</v>
      </c>
      <c r="U702" t="s">
        <v>9626</v>
      </c>
      <c r="V702" t="s">
        <v>9627</v>
      </c>
      <c r="W702" t="s">
        <v>9628</v>
      </c>
      <c r="X702" t="s">
        <v>9629</v>
      </c>
      <c r="Y702" t="s">
        <v>9630</v>
      </c>
      <c r="Z702" t="s">
        <v>9631</v>
      </c>
      <c r="AA702" t="s">
        <v>74</v>
      </c>
      <c r="AB702" t="s">
        <v>74</v>
      </c>
      <c r="AC702" t="s">
        <v>74</v>
      </c>
      <c r="AD702" t="s">
        <v>74</v>
      </c>
      <c r="AE702" t="s">
        <v>74</v>
      </c>
      <c r="AF702" t="s">
        <v>74</v>
      </c>
      <c r="AG702">
        <v>14</v>
      </c>
      <c r="AH702">
        <v>0</v>
      </c>
      <c r="AI702">
        <v>0</v>
      </c>
      <c r="AJ702">
        <v>0</v>
      </c>
      <c r="AK702">
        <v>2</v>
      </c>
      <c r="AL702" t="s">
        <v>9010</v>
      </c>
      <c r="AM702" t="s">
        <v>9011</v>
      </c>
      <c r="AN702" t="s">
        <v>9012</v>
      </c>
      <c r="AO702" t="s">
        <v>9013</v>
      </c>
      <c r="AP702" t="s">
        <v>9632</v>
      </c>
      <c r="AQ702" t="s">
        <v>9633</v>
      </c>
      <c r="AR702" t="s">
        <v>9634</v>
      </c>
      <c r="AS702" t="s">
        <v>74</v>
      </c>
      <c r="AT702" t="s">
        <v>74</v>
      </c>
      <c r="AU702">
        <v>2002</v>
      </c>
      <c r="AV702">
        <v>4939</v>
      </c>
      <c r="AW702" t="s">
        <v>74</v>
      </c>
      <c r="AX702" t="s">
        <v>74</v>
      </c>
      <c r="AY702" t="s">
        <v>74</v>
      </c>
      <c r="AZ702" t="s">
        <v>74</v>
      </c>
      <c r="BA702" t="s">
        <v>74</v>
      </c>
      <c r="BB702">
        <v>174</v>
      </c>
      <c r="BC702">
        <v>181</v>
      </c>
      <c r="BD702" t="s">
        <v>74</v>
      </c>
      <c r="BE702" t="s">
        <v>74</v>
      </c>
      <c r="BF702" t="s">
        <v>74</v>
      </c>
      <c r="BG702" t="s">
        <v>74</v>
      </c>
      <c r="BH702" t="s">
        <v>74</v>
      </c>
      <c r="BI702">
        <v>8</v>
      </c>
      <c r="BJ702" t="s">
        <v>9635</v>
      </c>
      <c r="BK702" t="s">
        <v>7004</v>
      </c>
      <c r="BL702" t="s">
        <v>9635</v>
      </c>
      <c r="BM702" t="s">
        <v>9636</v>
      </c>
      <c r="BN702" t="s">
        <v>74</v>
      </c>
      <c r="BO702" t="s">
        <v>74</v>
      </c>
      <c r="BP702" t="s">
        <v>74</v>
      </c>
      <c r="BQ702" t="s">
        <v>74</v>
      </c>
      <c r="BR702" t="s">
        <v>107</v>
      </c>
      <c r="BS702" t="s">
        <v>9637</v>
      </c>
      <c r="BT702" t="str">
        <f>HYPERLINK("https%3A%2F%2Fwww.webofscience.com%2Fwos%2Fwoscc%2Ffull-record%2FWOS:000181863300023","View Full Record in Web of Science")</f>
        <v>View Full Record in Web of Science</v>
      </c>
    </row>
    <row r="703" spans="1:72" x14ac:dyDescent="0.15">
      <c r="A703" t="s">
        <v>6989</v>
      </c>
      <c r="B703" t="s">
        <v>9638</v>
      </c>
      <c r="C703" t="s">
        <v>74</v>
      </c>
      <c r="D703" t="s">
        <v>9618</v>
      </c>
      <c r="E703" t="s">
        <v>74</v>
      </c>
      <c r="F703" t="s">
        <v>9638</v>
      </c>
      <c r="G703" t="s">
        <v>74</v>
      </c>
      <c r="H703" t="s">
        <v>74</v>
      </c>
      <c r="I703" t="s">
        <v>9639</v>
      </c>
      <c r="J703" t="s">
        <v>9620</v>
      </c>
      <c r="K703" t="s">
        <v>9621</v>
      </c>
      <c r="L703" t="s">
        <v>74</v>
      </c>
      <c r="M703" t="s">
        <v>77</v>
      </c>
      <c r="N703" t="s">
        <v>6994</v>
      </c>
      <c r="O703" t="s">
        <v>9622</v>
      </c>
      <c r="P703" t="s">
        <v>9623</v>
      </c>
      <c r="Q703" t="s">
        <v>9624</v>
      </c>
      <c r="R703" t="s">
        <v>74</v>
      </c>
      <c r="S703" t="s">
        <v>74</v>
      </c>
      <c r="T703" t="s">
        <v>9640</v>
      </c>
      <c r="U703" t="s">
        <v>9641</v>
      </c>
      <c r="V703" t="s">
        <v>9642</v>
      </c>
      <c r="W703" t="s">
        <v>9643</v>
      </c>
      <c r="X703" t="s">
        <v>9644</v>
      </c>
      <c r="Y703" t="s">
        <v>9645</v>
      </c>
      <c r="Z703" t="s">
        <v>9646</v>
      </c>
      <c r="AA703" t="s">
        <v>9647</v>
      </c>
      <c r="AB703" t="s">
        <v>9648</v>
      </c>
      <c r="AC703" t="s">
        <v>74</v>
      </c>
      <c r="AD703" t="s">
        <v>74</v>
      </c>
      <c r="AE703" t="s">
        <v>74</v>
      </c>
      <c r="AF703" t="s">
        <v>74</v>
      </c>
      <c r="AG703">
        <v>8</v>
      </c>
      <c r="AH703">
        <v>0</v>
      </c>
      <c r="AI703">
        <v>0</v>
      </c>
      <c r="AJ703">
        <v>0</v>
      </c>
      <c r="AK703">
        <v>0</v>
      </c>
      <c r="AL703" t="s">
        <v>9010</v>
      </c>
      <c r="AM703" t="s">
        <v>9011</v>
      </c>
      <c r="AN703" t="s">
        <v>9012</v>
      </c>
      <c r="AO703" t="s">
        <v>9013</v>
      </c>
      <c r="AP703" t="s">
        <v>9632</v>
      </c>
      <c r="AQ703" t="s">
        <v>9633</v>
      </c>
      <c r="AR703" t="s">
        <v>9634</v>
      </c>
      <c r="AS703" t="s">
        <v>74</v>
      </c>
      <c r="AT703" t="s">
        <v>74</v>
      </c>
      <c r="AU703">
        <v>2002</v>
      </c>
      <c r="AV703">
        <v>4939</v>
      </c>
      <c r="AW703" t="s">
        <v>74</v>
      </c>
      <c r="AX703" t="s">
        <v>74</v>
      </c>
      <c r="AY703" t="s">
        <v>74</v>
      </c>
      <c r="AZ703" t="s">
        <v>74</v>
      </c>
      <c r="BA703" t="s">
        <v>74</v>
      </c>
      <c r="BB703">
        <v>219</v>
      </c>
      <c r="BC703">
        <v>223</v>
      </c>
      <c r="BD703" t="s">
        <v>74</v>
      </c>
      <c r="BE703" t="s">
        <v>74</v>
      </c>
      <c r="BF703" t="s">
        <v>74</v>
      </c>
      <c r="BG703" t="s">
        <v>74</v>
      </c>
      <c r="BH703" t="s">
        <v>74</v>
      </c>
      <c r="BI703">
        <v>5</v>
      </c>
      <c r="BJ703" t="s">
        <v>9635</v>
      </c>
      <c r="BK703" t="s">
        <v>7004</v>
      </c>
      <c r="BL703" t="s">
        <v>9635</v>
      </c>
      <c r="BM703" t="s">
        <v>9636</v>
      </c>
      <c r="BN703" t="s">
        <v>74</v>
      </c>
      <c r="BO703" t="s">
        <v>74</v>
      </c>
      <c r="BP703" t="s">
        <v>74</v>
      </c>
      <c r="BQ703" t="s">
        <v>74</v>
      </c>
      <c r="BR703" t="s">
        <v>107</v>
      </c>
      <c r="BS703" t="s">
        <v>9649</v>
      </c>
      <c r="BT703" t="str">
        <f>HYPERLINK("https%3A%2F%2Fwww.webofscience.com%2Fwos%2Fwoscc%2Ffull-record%2FWOS:000181863300027","View Full Record in Web of Science")</f>
        <v>View Full Record in Web of Science</v>
      </c>
    </row>
    <row r="704" spans="1:72" x14ac:dyDescent="0.15">
      <c r="A704" t="s">
        <v>6989</v>
      </c>
      <c r="B704" t="s">
        <v>9650</v>
      </c>
      <c r="C704" t="s">
        <v>74</v>
      </c>
      <c r="D704" t="s">
        <v>9651</v>
      </c>
      <c r="E704" t="s">
        <v>74</v>
      </c>
      <c r="F704" t="s">
        <v>9650</v>
      </c>
      <c r="G704" t="s">
        <v>74</v>
      </c>
      <c r="H704" t="s">
        <v>74</v>
      </c>
      <c r="I704" t="s">
        <v>9652</v>
      </c>
      <c r="J704" t="s">
        <v>9653</v>
      </c>
      <c r="K704" t="s">
        <v>9654</v>
      </c>
      <c r="L704" t="s">
        <v>74</v>
      </c>
      <c r="M704" t="s">
        <v>77</v>
      </c>
      <c r="N704" t="s">
        <v>6994</v>
      </c>
      <c r="O704" t="s">
        <v>9655</v>
      </c>
      <c r="P704">
        <v>2001</v>
      </c>
      <c r="Q704" t="s">
        <v>9656</v>
      </c>
      <c r="R704" t="s">
        <v>74</v>
      </c>
      <c r="S704" t="s">
        <v>74</v>
      </c>
      <c r="T704" t="s">
        <v>74</v>
      </c>
      <c r="U704" t="s">
        <v>9657</v>
      </c>
      <c r="V704" t="s">
        <v>74</v>
      </c>
      <c r="W704" t="s">
        <v>2466</v>
      </c>
      <c r="X704" t="s">
        <v>852</v>
      </c>
      <c r="Y704" t="s">
        <v>9658</v>
      </c>
      <c r="Z704" t="s">
        <v>74</v>
      </c>
      <c r="AA704" t="s">
        <v>74</v>
      </c>
      <c r="AB704" t="s">
        <v>74</v>
      </c>
      <c r="AC704" t="s">
        <v>74</v>
      </c>
      <c r="AD704" t="s">
        <v>74</v>
      </c>
      <c r="AE704" t="s">
        <v>74</v>
      </c>
      <c r="AF704" t="s">
        <v>74</v>
      </c>
      <c r="AG704">
        <v>16</v>
      </c>
      <c r="AH704">
        <v>0</v>
      </c>
      <c r="AI704">
        <v>0</v>
      </c>
      <c r="AJ704">
        <v>0</v>
      </c>
      <c r="AK704">
        <v>0</v>
      </c>
      <c r="AL704" t="s">
        <v>9659</v>
      </c>
      <c r="AM704" t="s">
        <v>1779</v>
      </c>
      <c r="AN704" t="s">
        <v>9660</v>
      </c>
      <c r="AO704" t="s">
        <v>9661</v>
      </c>
      <c r="AP704" t="s">
        <v>74</v>
      </c>
      <c r="AQ704" t="s">
        <v>9662</v>
      </c>
      <c r="AR704" t="s">
        <v>9663</v>
      </c>
      <c r="AS704" t="s">
        <v>74</v>
      </c>
      <c r="AT704" t="s">
        <v>74</v>
      </c>
      <c r="AU704">
        <v>2002</v>
      </c>
      <c r="AV704">
        <v>28</v>
      </c>
      <c r="AW704" t="s">
        <v>74</v>
      </c>
      <c r="AX704">
        <v>2</v>
      </c>
      <c r="AY704" t="s">
        <v>74</v>
      </c>
      <c r="AZ704" t="s">
        <v>74</v>
      </c>
      <c r="BA704" t="s">
        <v>74</v>
      </c>
      <c r="BB704">
        <v>862</v>
      </c>
      <c r="BC704">
        <v>865</v>
      </c>
      <c r="BD704" t="s">
        <v>74</v>
      </c>
      <c r="BE704" t="s">
        <v>74</v>
      </c>
      <c r="BF704" t="s">
        <v>74</v>
      </c>
      <c r="BG704" t="s">
        <v>74</v>
      </c>
      <c r="BH704" t="s">
        <v>74</v>
      </c>
      <c r="BI704">
        <v>4</v>
      </c>
      <c r="BJ704" t="s">
        <v>9664</v>
      </c>
      <c r="BK704" t="s">
        <v>7004</v>
      </c>
      <c r="BL704" t="s">
        <v>1919</v>
      </c>
      <c r="BM704" t="s">
        <v>9665</v>
      </c>
      <c r="BN704" t="s">
        <v>74</v>
      </c>
      <c r="BO704" t="s">
        <v>74</v>
      </c>
      <c r="BP704" t="s">
        <v>74</v>
      </c>
      <c r="BQ704" t="s">
        <v>74</v>
      </c>
      <c r="BR704" t="s">
        <v>107</v>
      </c>
      <c r="BS704" t="s">
        <v>9666</v>
      </c>
      <c r="BT704" t="str">
        <f>HYPERLINK("https%3A%2F%2Fwww.webofscience.com%2Fwos%2Fwoscc%2Ffull-record%2FWOS:000180942800068","View Full Record in Web of Science")</f>
        <v>View Full Record in Web of Science</v>
      </c>
    </row>
    <row r="705" spans="1:72" x14ac:dyDescent="0.15">
      <c r="A705" t="s">
        <v>72</v>
      </c>
      <c r="B705" t="s">
        <v>9667</v>
      </c>
      <c r="C705" t="s">
        <v>74</v>
      </c>
      <c r="D705" t="s">
        <v>74</v>
      </c>
      <c r="E705" t="s">
        <v>74</v>
      </c>
      <c r="F705" t="s">
        <v>9667</v>
      </c>
      <c r="G705" t="s">
        <v>74</v>
      </c>
      <c r="H705" t="s">
        <v>74</v>
      </c>
      <c r="I705" t="s">
        <v>9668</v>
      </c>
      <c r="J705" t="s">
        <v>9669</v>
      </c>
      <c r="K705" t="s">
        <v>74</v>
      </c>
      <c r="L705" t="s">
        <v>74</v>
      </c>
      <c r="M705" t="s">
        <v>77</v>
      </c>
      <c r="N705" t="s">
        <v>78</v>
      </c>
      <c r="O705" t="s">
        <v>9670</v>
      </c>
      <c r="P705" t="s">
        <v>9671</v>
      </c>
      <c r="Q705" t="s">
        <v>9672</v>
      </c>
      <c r="R705" t="s">
        <v>74</v>
      </c>
      <c r="S705" t="s">
        <v>74</v>
      </c>
      <c r="T705" t="s">
        <v>9673</v>
      </c>
      <c r="U705" t="s">
        <v>9674</v>
      </c>
      <c r="V705" t="s">
        <v>9675</v>
      </c>
      <c r="W705" t="s">
        <v>9676</v>
      </c>
      <c r="X705" t="s">
        <v>9677</v>
      </c>
      <c r="Y705" t="s">
        <v>9678</v>
      </c>
      <c r="Z705" t="s">
        <v>9679</v>
      </c>
      <c r="AA705" t="s">
        <v>74</v>
      </c>
      <c r="AB705" t="s">
        <v>74</v>
      </c>
      <c r="AC705" t="s">
        <v>74</v>
      </c>
      <c r="AD705" t="s">
        <v>74</v>
      </c>
      <c r="AE705" t="s">
        <v>74</v>
      </c>
      <c r="AF705" t="s">
        <v>74</v>
      </c>
      <c r="AG705">
        <v>21</v>
      </c>
      <c r="AH705">
        <v>3</v>
      </c>
      <c r="AI705">
        <v>3</v>
      </c>
      <c r="AJ705">
        <v>0</v>
      </c>
      <c r="AK705">
        <v>4</v>
      </c>
      <c r="AL705" t="s">
        <v>132</v>
      </c>
      <c r="AM705" t="s">
        <v>91</v>
      </c>
      <c r="AN705" t="s">
        <v>133</v>
      </c>
      <c r="AO705" t="s">
        <v>9680</v>
      </c>
      <c r="AP705" t="s">
        <v>74</v>
      </c>
      <c r="AQ705" t="s">
        <v>74</v>
      </c>
      <c r="AR705" t="s">
        <v>9681</v>
      </c>
      <c r="AS705" t="s">
        <v>9682</v>
      </c>
      <c r="AT705" t="s">
        <v>7127</v>
      </c>
      <c r="AU705">
        <v>2002</v>
      </c>
      <c r="AV705">
        <v>48</v>
      </c>
      <c r="AW705" t="s">
        <v>436</v>
      </c>
      <c r="AX705" t="s">
        <v>74</v>
      </c>
      <c r="AY705" t="s">
        <v>74</v>
      </c>
      <c r="AZ705" t="s">
        <v>74</v>
      </c>
      <c r="BA705" t="s">
        <v>74</v>
      </c>
      <c r="BB705">
        <v>233</v>
      </c>
      <c r="BC705">
        <v>243</v>
      </c>
      <c r="BD705" t="s">
        <v>9683</v>
      </c>
      <c r="BE705" t="s">
        <v>9684</v>
      </c>
      <c r="BF705" t="str">
        <f>HYPERLINK("http://dx.doi.org/10.1016/S0166-5162(01)00058-1","http://dx.doi.org/10.1016/S0166-5162(01)00058-1")</f>
        <v>http://dx.doi.org/10.1016/S0166-5162(01)00058-1</v>
      </c>
      <c r="BG705" t="s">
        <v>74</v>
      </c>
      <c r="BH705" t="s">
        <v>74</v>
      </c>
      <c r="BI705">
        <v>11</v>
      </c>
      <c r="BJ705" t="s">
        <v>9685</v>
      </c>
      <c r="BK705" t="s">
        <v>103</v>
      </c>
      <c r="BL705" t="s">
        <v>9686</v>
      </c>
      <c r="BM705" t="s">
        <v>9687</v>
      </c>
      <c r="BN705" t="s">
        <v>74</v>
      </c>
      <c r="BO705" t="s">
        <v>74</v>
      </c>
      <c r="BP705" t="s">
        <v>74</v>
      </c>
      <c r="BQ705" t="s">
        <v>74</v>
      </c>
      <c r="BR705" t="s">
        <v>107</v>
      </c>
      <c r="BS705" t="s">
        <v>9688</v>
      </c>
      <c r="BT705" t="str">
        <f>HYPERLINK("https%3A%2F%2Fwww.webofscience.com%2Fwos%2Fwoscc%2Ffull-record%2FWOS:000174454900006","View Full Record in Web of Science")</f>
        <v>View Full Record in Web of Science</v>
      </c>
    </row>
    <row r="706" spans="1:72" x14ac:dyDescent="0.15">
      <c r="A706" t="s">
        <v>72</v>
      </c>
      <c r="B706" t="s">
        <v>9689</v>
      </c>
      <c r="C706" t="s">
        <v>74</v>
      </c>
      <c r="D706" t="s">
        <v>74</v>
      </c>
      <c r="E706" t="s">
        <v>74</v>
      </c>
      <c r="F706" t="s">
        <v>9689</v>
      </c>
      <c r="G706" t="s">
        <v>74</v>
      </c>
      <c r="H706" t="s">
        <v>74</v>
      </c>
      <c r="I706" t="s">
        <v>9690</v>
      </c>
      <c r="J706" t="s">
        <v>9691</v>
      </c>
      <c r="K706" t="s">
        <v>74</v>
      </c>
      <c r="L706" t="s">
        <v>74</v>
      </c>
      <c r="M706" t="s">
        <v>77</v>
      </c>
      <c r="N706" t="s">
        <v>153</v>
      </c>
      <c r="O706" t="s">
        <v>74</v>
      </c>
      <c r="P706" t="s">
        <v>74</v>
      </c>
      <c r="Q706" t="s">
        <v>74</v>
      </c>
      <c r="R706" t="s">
        <v>74</v>
      </c>
      <c r="S706" t="s">
        <v>74</v>
      </c>
      <c r="T706" t="s">
        <v>9692</v>
      </c>
      <c r="U706" t="s">
        <v>9693</v>
      </c>
      <c r="V706" t="s">
        <v>9694</v>
      </c>
      <c r="W706" t="s">
        <v>9695</v>
      </c>
      <c r="X706" t="s">
        <v>9696</v>
      </c>
      <c r="Y706" t="s">
        <v>9697</v>
      </c>
      <c r="Z706" t="s">
        <v>9698</v>
      </c>
      <c r="AA706" t="s">
        <v>9699</v>
      </c>
      <c r="AB706" t="s">
        <v>9700</v>
      </c>
      <c r="AC706" t="s">
        <v>74</v>
      </c>
      <c r="AD706" t="s">
        <v>74</v>
      </c>
      <c r="AE706" t="s">
        <v>74</v>
      </c>
      <c r="AF706" t="s">
        <v>74</v>
      </c>
      <c r="AG706">
        <v>44</v>
      </c>
      <c r="AH706">
        <v>7</v>
      </c>
      <c r="AI706">
        <v>7</v>
      </c>
      <c r="AJ706">
        <v>0</v>
      </c>
      <c r="AK706">
        <v>3</v>
      </c>
      <c r="AL706" t="s">
        <v>453</v>
      </c>
      <c r="AM706" t="s">
        <v>454</v>
      </c>
      <c r="AN706" t="s">
        <v>455</v>
      </c>
      <c r="AO706" t="s">
        <v>9701</v>
      </c>
      <c r="AP706" t="s">
        <v>9702</v>
      </c>
      <c r="AQ706" t="s">
        <v>74</v>
      </c>
      <c r="AR706" t="s">
        <v>9703</v>
      </c>
      <c r="AS706" t="s">
        <v>9704</v>
      </c>
      <c r="AT706" t="s">
        <v>74</v>
      </c>
      <c r="AU706">
        <v>2002</v>
      </c>
      <c r="AV706">
        <v>82</v>
      </c>
      <c r="AW706">
        <v>5</v>
      </c>
      <c r="AX706" t="s">
        <v>74</v>
      </c>
      <c r="AY706" t="s">
        <v>74</v>
      </c>
      <c r="AZ706" t="s">
        <v>74</v>
      </c>
      <c r="BA706" t="s">
        <v>74</v>
      </c>
      <c r="BB706">
        <v>259</v>
      </c>
      <c r="BC706">
        <v>274</v>
      </c>
      <c r="BD706" t="s">
        <v>74</v>
      </c>
      <c r="BE706" t="s">
        <v>9705</v>
      </c>
      <c r="BF706" t="str">
        <f>HYPERLINK("http://dx.doi.org/10.1080/03067310290027767","http://dx.doi.org/10.1080/03067310290027767")</f>
        <v>http://dx.doi.org/10.1080/03067310290027767</v>
      </c>
      <c r="BG706" t="s">
        <v>74</v>
      </c>
      <c r="BH706" t="s">
        <v>74</v>
      </c>
      <c r="BI706">
        <v>16</v>
      </c>
      <c r="BJ706" t="s">
        <v>9706</v>
      </c>
      <c r="BK706" t="s">
        <v>170</v>
      </c>
      <c r="BL706" t="s">
        <v>9707</v>
      </c>
      <c r="BM706" t="s">
        <v>9708</v>
      </c>
      <c r="BN706" t="s">
        <v>74</v>
      </c>
      <c r="BO706" t="s">
        <v>665</v>
      </c>
      <c r="BP706" t="s">
        <v>74</v>
      </c>
      <c r="BQ706" t="s">
        <v>74</v>
      </c>
      <c r="BR706" t="s">
        <v>107</v>
      </c>
      <c r="BS706" t="s">
        <v>9709</v>
      </c>
      <c r="BT706" t="str">
        <f>HYPERLINK("https%3A%2F%2Fwww.webofscience.com%2Fwos%2Fwoscc%2Ffull-record%2FWOS:000177312700001","View Full Record in Web of Science")</f>
        <v>View Full Record in Web of Science</v>
      </c>
    </row>
    <row r="707" spans="1:72" x14ac:dyDescent="0.15">
      <c r="A707" t="s">
        <v>72</v>
      </c>
      <c r="B707" t="s">
        <v>9710</v>
      </c>
      <c r="C707" t="s">
        <v>74</v>
      </c>
      <c r="D707" t="s">
        <v>74</v>
      </c>
      <c r="E707" t="s">
        <v>74</v>
      </c>
      <c r="F707" t="s">
        <v>9710</v>
      </c>
      <c r="G707" t="s">
        <v>74</v>
      </c>
      <c r="H707" t="s">
        <v>74</v>
      </c>
      <c r="I707" t="s">
        <v>9711</v>
      </c>
      <c r="J707" t="s">
        <v>2598</v>
      </c>
      <c r="K707" t="s">
        <v>74</v>
      </c>
      <c r="L707" t="s">
        <v>74</v>
      </c>
      <c r="M707" t="s">
        <v>77</v>
      </c>
      <c r="N707" t="s">
        <v>153</v>
      </c>
      <c r="O707" t="s">
        <v>74</v>
      </c>
      <c r="P707" t="s">
        <v>74</v>
      </c>
      <c r="Q707" t="s">
        <v>74</v>
      </c>
      <c r="R707" t="s">
        <v>74</v>
      </c>
      <c r="S707" t="s">
        <v>74</v>
      </c>
      <c r="T707" t="s">
        <v>9712</v>
      </c>
      <c r="U707" t="s">
        <v>9713</v>
      </c>
      <c r="V707" t="s">
        <v>9714</v>
      </c>
      <c r="W707" t="s">
        <v>9715</v>
      </c>
      <c r="X707" t="s">
        <v>9716</v>
      </c>
      <c r="Y707" t="s">
        <v>9717</v>
      </c>
      <c r="Z707" t="s">
        <v>74</v>
      </c>
      <c r="AA707" t="s">
        <v>9718</v>
      </c>
      <c r="AB707" t="s">
        <v>74</v>
      </c>
      <c r="AC707" t="s">
        <v>74</v>
      </c>
      <c r="AD707" t="s">
        <v>74</v>
      </c>
      <c r="AE707" t="s">
        <v>74</v>
      </c>
      <c r="AF707" t="s">
        <v>74</v>
      </c>
      <c r="AG707">
        <v>60</v>
      </c>
      <c r="AH707">
        <v>120</v>
      </c>
      <c r="AI707">
        <v>127</v>
      </c>
      <c r="AJ707">
        <v>2</v>
      </c>
      <c r="AK707">
        <v>38</v>
      </c>
      <c r="AL707" t="s">
        <v>9719</v>
      </c>
      <c r="AM707" t="s">
        <v>416</v>
      </c>
      <c r="AN707" t="s">
        <v>9720</v>
      </c>
      <c r="AO707" t="s">
        <v>2609</v>
      </c>
      <c r="AP707" t="s">
        <v>74</v>
      </c>
      <c r="AQ707" t="s">
        <v>74</v>
      </c>
      <c r="AR707" t="s">
        <v>2611</v>
      </c>
      <c r="AS707" t="s">
        <v>2612</v>
      </c>
      <c r="AT707" t="s">
        <v>7127</v>
      </c>
      <c r="AU707">
        <v>2002</v>
      </c>
      <c r="AV707">
        <v>52</v>
      </c>
      <c r="AW707" t="s">
        <v>74</v>
      </c>
      <c r="AX707">
        <v>1</v>
      </c>
      <c r="AY707" t="s">
        <v>74</v>
      </c>
      <c r="AZ707" t="s">
        <v>74</v>
      </c>
      <c r="BA707" t="s">
        <v>74</v>
      </c>
      <c r="BB707">
        <v>195</v>
      </c>
      <c r="BC707">
        <v>205</v>
      </c>
      <c r="BD707" t="s">
        <v>74</v>
      </c>
      <c r="BE707" t="s">
        <v>9721</v>
      </c>
      <c r="BF707" t="str">
        <f>HYPERLINK("http://dx.doi.org/10.1099/00207713-52-1-195","http://dx.doi.org/10.1099/00207713-52-1-195")</f>
        <v>http://dx.doi.org/10.1099/00207713-52-1-195</v>
      </c>
      <c r="BG707" t="s">
        <v>74</v>
      </c>
      <c r="BH707" t="s">
        <v>74</v>
      </c>
      <c r="BI707">
        <v>11</v>
      </c>
      <c r="BJ707" t="s">
        <v>1134</v>
      </c>
      <c r="BK707" t="s">
        <v>170</v>
      </c>
      <c r="BL707" t="s">
        <v>1134</v>
      </c>
      <c r="BM707" t="s">
        <v>9722</v>
      </c>
      <c r="BN707">
        <v>11837303</v>
      </c>
      <c r="BO707" t="s">
        <v>173</v>
      </c>
      <c r="BP707" t="s">
        <v>74</v>
      </c>
      <c r="BQ707" t="s">
        <v>74</v>
      </c>
      <c r="BR707" t="s">
        <v>107</v>
      </c>
      <c r="BS707" t="s">
        <v>9723</v>
      </c>
      <c r="BT707" t="str">
        <f>HYPERLINK("https%3A%2F%2Fwww.webofscience.com%2Fwos%2Fwoscc%2Ffull-record%2FWOS:000173464200018","View Full Record in Web of Science")</f>
        <v>View Full Record in Web of Science</v>
      </c>
    </row>
    <row r="708" spans="1:72" x14ac:dyDescent="0.15">
      <c r="A708" t="s">
        <v>1051</v>
      </c>
      <c r="B708" t="s">
        <v>9724</v>
      </c>
      <c r="C708" t="s">
        <v>74</v>
      </c>
      <c r="D708" t="s">
        <v>9725</v>
      </c>
      <c r="E708" t="s">
        <v>74</v>
      </c>
      <c r="F708" t="s">
        <v>9724</v>
      </c>
      <c r="G708" t="s">
        <v>74</v>
      </c>
      <c r="H708" t="s">
        <v>74</v>
      </c>
      <c r="I708" t="s">
        <v>9726</v>
      </c>
      <c r="J708" t="s">
        <v>9727</v>
      </c>
      <c r="K708" t="s">
        <v>8985</v>
      </c>
      <c r="L708" t="s">
        <v>74</v>
      </c>
      <c r="M708" t="s">
        <v>77</v>
      </c>
      <c r="N708" t="s">
        <v>78</v>
      </c>
      <c r="O708" t="s">
        <v>9728</v>
      </c>
      <c r="P708" t="s">
        <v>9729</v>
      </c>
      <c r="Q708" t="s">
        <v>9730</v>
      </c>
      <c r="R708" t="s">
        <v>74</v>
      </c>
      <c r="S708" t="s">
        <v>74</v>
      </c>
      <c r="T708" t="s">
        <v>74</v>
      </c>
      <c r="U708" t="s">
        <v>9731</v>
      </c>
      <c r="V708" t="s">
        <v>9732</v>
      </c>
      <c r="W708" t="s">
        <v>9733</v>
      </c>
      <c r="X708" t="s">
        <v>9734</v>
      </c>
      <c r="Y708" t="s">
        <v>9735</v>
      </c>
      <c r="Z708" t="s">
        <v>74</v>
      </c>
      <c r="AA708" t="s">
        <v>9736</v>
      </c>
      <c r="AB708" t="s">
        <v>9737</v>
      </c>
      <c r="AC708" t="s">
        <v>74</v>
      </c>
      <c r="AD708" t="s">
        <v>74</v>
      </c>
      <c r="AE708" t="s">
        <v>74</v>
      </c>
      <c r="AF708" t="s">
        <v>74</v>
      </c>
      <c r="AG708">
        <v>15</v>
      </c>
      <c r="AH708">
        <v>3</v>
      </c>
      <c r="AI708">
        <v>3</v>
      </c>
      <c r="AJ708">
        <v>0</v>
      </c>
      <c r="AK708">
        <v>7</v>
      </c>
      <c r="AL708" t="s">
        <v>1013</v>
      </c>
      <c r="AM708" t="s">
        <v>895</v>
      </c>
      <c r="AN708" t="s">
        <v>1014</v>
      </c>
      <c r="AO708" t="s">
        <v>7062</v>
      </c>
      <c r="AP708" t="s">
        <v>74</v>
      </c>
      <c r="AQ708" t="s">
        <v>74</v>
      </c>
      <c r="AR708" t="s">
        <v>8992</v>
      </c>
      <c r="AS708" t="s">
        <v>74</v>
      </c>
      <c r="AT708" t="s">
        <v>74</v>
      </c>
      <c r="AU708">
        <v>2002</v>
      </c>
      <c r="AV708">
        <v>29</v>
      </c>
      <c r="AW708">
        <v>10</v>
      </c>
      <c r="AX708" t="s">
        <v>74</v>
      </c>
      <c r="AY708" t="s">
        <v>74</v>
      </c>
      <c r="AZ708" t="s">
        <v>74</v>
      </c>
      <c r="BA708" t="s">
        <v>74</v>
      </c>
      <c r="BB708">
        <v>1527</v>
      </c>
      <c r="BC708">
        <v>1532</v>
      </c>
      <c r="BD708" t="s">
        <v>9738</v>
      </c>
      <c r="BE708" t="s">
        <v>9739</v>
      </c>
      <c r="BF708" t="str">
        <f>HYPERLINK("http://dx.doi.org/10.1016/S0273-1177(02)00205-3","http://dx.doi.org/10.1016/S0273-1177(02)00205-3")</f>
        <v>http://dx.doi.org/10.1016/S0273-1177(02)00205-3</v>
      </c>
      <c r="BG708" t="s">
        <v>74</v>
      </c>
      <c r="BH708" t="s">
        <v>74</v>
      </c>
      <c r="BI708">
        <v>6</v>
      </c>
      <c r="BJ708" t="s">
        <v>7066</v>
      </c>
      <c r="BK708" t="s">
        <v>744</v>
      </c>
      <c r="BL708" t="s">
        <v>7067</v>
      </c>
      <c r="BM708" t="s">
        <v>9740</v>
      </c>
      <c r="BN708" t="s">
        <v>74</v>
      </c>
      <c r="BO708" t="s">
        <v>74</v>
      </c>
      <c r="BP708" t="s">
        <v>74</v>
      </c>
      <c r="BQ708" t="s">
        <v>74</v>
      </c>
      <c r="BR708" t="s">
        <v>107</v>
      </c>
      <c r="BS708" t="s">
        <v>9741</v>
      </c>
      <c r="BT708" t="str">
        <f>HYPERLINK("https%3A%2F%2Fwww.webofscience.com%2Fwos%2Fwoscc%2Ffull-record%2FWOS:000177134900015","View Full Record in Web of Science")</f>
        <v>View Full Record in Web of Science</v>
      </c>
    </row>
    <row r="709" spans="1:72" x14ac:dyDescent="0.15">
      <c r="A709" t="s">
        <v>72</v>
      </c>
      <c r="B709" t="s">
        <v>9742</v>
      </c>
      <c r="C709" t="s">
        <v>74</v>
      </c>
      <c r="D709" t="s">
        <v>74</v>
      </c>
      <c r="E709" t="s">
        <v>74</v>
      </c>
      <c r="F709" t="s">
        <v>9742</v>
      </c>
      <c r="G709" t="s">
        <v>74</v>
      </c>
      <c r="H709" t="s">
        <v>74</v>
      </c>
      <c r="I709" t="s">
        <v>9743</v>
      </c>
      <c r="J709" t="s">
        <v>9744</v>
      </c>
      <c r="K709" t="s">
        <v>74</v>
      </c>
      <c r="L709" t="s">
        <v>74</v>
      </c>
      <c r="M709" t="s">
        <v>77</v>
      </c>
      <c r="N709" t="s">
        <v>947</v>
      </c>
      <c r="O709" t="s">
        <v>74</v>
      </c>
      <c r="P709" t="s">
        <v>74</v>
      </c>
      <c r="Q709" t="s">
        <v>74</v>
      </c>
      <c r="R709" t="s">
        <v>74</v>
      </c>
      <c r="S709" t="s">
        <v>74</v>
      </c>
      <c r="T709" t="s">
        <v>9745</v>
      </c>
      <c r="U709" t="s">
        <v>9746</v>
      </c>
      <c r="V709" t="s">
        <v>9747</v>
      </c>
      <c r="W709" t="s">
        <v>9748</v>
      </c>
      <c r="X709" t="s">
        <v>9749</v>
      </c>
      <c r="Y709" t="s">
        <v>9750</v>
      </c>
      <c r="Z709" t="s">
        <v>9751</v>
      </c>
      <c r="AA709" t="s">
        <v>74</v>
      </c>
      <c r="AB709" t="s">
        <v>74</v>
      </c>
      <c r="AC709" t="s">
        <v>74</v>
      </c>
      <c r="AD709" t="s">
        <v>74</v>
      </c>
      <c r="AE709" t="s">
        <v>74</v>
      </c>
      <c r="AF709" t="s">
        <v>74</v>
      </c>
      <c r="AG709">
        <v>220</v>
      </c>
      <c r="AH709">
        <v>35</v>
      </c>
      <c r="AI709">
        <v>39</v>
      </c>
      <c r="AJ709">
        <v>0</v>
      </c>
      <c r="AK709">
        <v>20</v>
      </c>
      <c r="AL709" t="s">
        <v>9752</v>
      </c>
      <c r="AM709" t="s">
        <v>395</v>
      </c>
      <c r="AN709" t="s">
        <v>396</v>
      </c>
      <c r="AO709" t="s">
        <v>9753</v>
      </c>
      <c r="AP709" t="s">
        <v>9754</v>
      </c>
      <c r="AQ709" t="s">
        <v>74</v>
      </c>
      <c r="AR709" t="s">
        <v>9755</v>
      </c>
      <c r="AS709" t="s">
        <v>9756</v>
      </c>
      <c r="AT709" t="s">
        <v>74</v>
      </c>
      <c r="AU709">
        <v>2002</v>
      </c>
      <c r="AV709">
        <v>121</v>
      </c>
      <c r="AW709">
        <v>4</v>
      </c>
      <c r="AX709" t="s">
        <v>74</v>
      </c>
      <c r="AY709" t="s">
        <v>74</v>
      </c>
      <c r="AZ709" t="s">
        <v>74</v>
      </c>
      <c r="BA709" t="s">
        <v>74</v>
      </c>
      <c r="BB709">
        <v>325</v>
      </c>
      <c r="BC709">
        <v>338</v>
      </c>
      <c r="BD709" t="s">
        <v>74</v>
      </c>
      <c r="BE709" t="s">
        <v>9757</v>
      </c>
      <c r="BF709" t="str">
        <f>HYPERLINK("http://dx.doi.org/10.1111/j.1744-7410.2002.tb00133.x","http://dx.doi.org/10.1111/j.1744-7410.2002.tb00133.x")</f>
        <v>http://dx.doi.org/10.1111/j.1744-7410.2002.tb00133.x</v>
      </c>
      <c r="BG709" t="s">
        <v>74</v>
      </c>
      <c r="BH709" t="s">
        <v>74</v>
      </c>
      <c r="BI709">
        <v>14</v>
      </c>
      <c r="BJ709" t="s">
        <v>2790</v>
      </c>
      <c r="BK709" t="s">
        <v>170</v>
      </c>
      <c r="BL709" t="s">
        <v>2790</v>
      </c>
      <c r="BM709" t="s">
        <v>9758</v>
      </c>
      <c r="BN709" t="s">
        <v>74</v>
      </c>
      <c r="BO709" t="s">
        <v>74</v>
      </c>
      <c r="BP709" t="s">
        <v>74</v>
      </c>
      <c r="BQ709" t="s">
        <v>74</v>
      </c>
      <c r="BR709" t="s">
        <v>107</v>
      </c>
      <c r="BS709" t="s">
        <v>9759</v>
      </c>
      <c r="BT709" t="str">
        <f>HYPERLINK("https%3A%2F%2Fwww.webofscience.com%2Fwos%2Fwoscc%2Ffull-record%2FWOS:000179419200002","View Full Record in Web of Science")</f>
        <v>View Full Record in Web of Science</v>
      </c>
    </row>
    <row r="710" spans="1:72" x14ac:dyDescent="0.15">
      <c r="A710" t="s">
        <v>72</v>
      </c>
      <c r="B710" t="s">
        <v>9760</v>
      </c>
      <c r="C710" t="s">
        <v>74</v>
      </c>
      <c r="D710" t="s">
        <v>74</v>
      </c>
      <c r="E710" t="s">
        <v>74</v>
      </c>
      <c r="F710" t="s">
        <v>9760</v>
      </c>
      <c r="G710" t="s">
        <v>74</v>
      </c>
      <c r="H710" t="s">
        <v>74</v>
      </c>
      <c r="I710" t="s">
        <v>9761</v>
      </c>
      <c r="J710" t="s">
        <v>9762</v>
      </c>
      <c r="K710" t="s">
        <v>74</v>
      </c>
      <c r="L710" t="s">
        <v>74</v>
      </c>
      <c r="M710" t="s">
        <v>77</v>
      </c>
      <c r="N710" t="s">
        <v>153</v>
      </c>
      <c r="O710" t="s">
        <v>74</v>
      </c>
      <c r="P710" t="s">
        <v>74</v>
      </c>
      <c r="Q710" t="s">
        <v>74</v>
      </c>
      <c r="R710" t="s">
        <v>74</v>
      </c>
      <c r="S710" t="s">
        <v>74</v>
      </c>
      <c r="T710" t="s">
        <v>74</v>
      </c>
      <c r="U710" t="s">
        <v>9763</v>
      </c>
      <c r="V710" t="s">
        <v>9764</v>
      </c>
      <c r="W710" t="s">
        <v>9765</v>
      </c>
      <c r="X710" t="s">
        <v>9766</v>
      </c>
      <c r="Y710" t="s">
        <v>9767</v>
      </c>
      <c r="Z710" t="s">
        <v>74</v>
      </c>
      <c r="AA710" t="s">
        <v>5747</v>
      </c>
      <c r="AB710" t="s">
        <v>5748</v>
      </c>
      <c r="AC710" t="s">
        <v>74</v>
      </c>
      <c r="AD710" t="s">
        <v>74</v>
      </c>
      <c r="AE710" t="s">
        <v>74</v>
      </c>
      <c r="AF710" t="s">
        <v>74</v>
      </c>
      <c r="AG710">
        <v>35</v>
      </c>
      <c r="AH710">
        <v>15</v>
      </c>
      <c r="AI710">
        <v>17</v>
      </c>
      <c r="AJ710">
        <v>1</v>
      </c>
      <c r="AK710">
        <v>6</v>
      </c>
      <c r="AL710" t="s">
        <v>2112</v>
      </c>
      <c r="AM710" t="s">
        <v>2113</v>
      </c>
      <c r="AN710" t="s">
        <v>2114</v>
      </c>
      <c r="AO710" t="s">
        <v>9768</v>
      </c>
      <c r="AP710" t="s">
        <v>74</v>
      </c>
      <c r="AQ710" t="s">
        <v>74</v>
      </c>
      <c r="AR710" t="s">
        <v>9769</v>
      </c>
      <c r="AS710" t="s">
        <v>9770</v>
      </c>
      <c r="AT710" t="s">
        <v>74</v>
      </c>
      <c r="AU710">
        <v>2002</v>
      </c>
      <c r="AV710">
        <v>16</v>
      </c>
      <c r="AW710">
        <v>6</v>
      </c>
      <c r="AX710" t="s">
        <v>74</v>
      </c>
      <c r="AY710" t="s">
        <v>74</v>
      </c>
      <c r="AZ710" t="s">
        <v>74</v>
      </c>
      <c r="BA710" t="s">
        <v>74</v>
      </c>
      <c r="BB710">
        <v>919</v>
      </c>
      <c r="BC710">
        <v>929</v>
      </c>
      <c r="BD710" t="s">
        <v>74</v>
      </c>
      <c r="BE710" t="s">
        <v>9771</v>
      </c>
      <c r="BF710" t="str">
        <f>HYPERLINK("http://dx.doi.org/10.1071/IT01027","http://dx.doi.org/10.1071/IT01027")</f>
        <v>http://dx.doi.org/10.1071/IT01027</v>
      </c>
      <c r="BG710" t="s">
        <v>74</v>
      </c>
      <c r="BH710" t="s">
        <v>74</v>
      </c>
      <c r="BI710">
        <v>11</v>
      </c>
      <c r="BJ710" t="s">
        <v>9772</v>
      </c>
      <c r="BK710" t="s">
        <v>170</v>
      </c>
      <c r="BL710" t="s">
        <v>9772</v>
      </c>
      <c r="BM710" t="s">
        <v>9773</v>
      </c>
      <c r="BN710" t="s">
        <v>74</v>
      </c>
      <c r="BO710" t="s">
        <v>74</v>
      </c>
      <c r="BP710" t="s">
        <v>74</v>
      </c>
      <c r="BQ710" t="s">
        <v>74</v>
      </c>
      <c r="BR710" t="s">
        <v>107</v>
      </c>
      <c r="BS710" t="s">
        <v>9774</v>
      </c>
      <c r="BT710" t="str">
        <f>HYPERLINK("https%3A%2F%2Fwww.webofscience.com%2Fwos%2Fwoscc%2Ffull-record%2FWOS:000179773800004","View Full Record in Web of Science")</f>
        <v>View Full Record in Web of Science</v>
      </c>
    </row>
    <row r="711" spans="1:72" x14ac:dyDescent="0.15">
      <c r="A711" t="s">
        <v>72</v>
      </c>
      <c r="B711" t="s">
        <v>9775</v>
      </c>
      <c r="C711" t="s">
        <v>74</v>
      </c>
      <c r="D711" t="s">
        <v>74</v>
      </c>
      <c r="E711" t="s">
        <v>74</v>
      </c>
      <c r="F711" t="s">
        <v>9775</v>
      </c>
      <c r="G711" t="s">
        <v>74</v>
      </c>
      <c r="H711" t="s">
        <v>74</v>
      </c>
      <c r="I711" t="s">
        <v>9776</v>
      </c>
      <c r="J711" t="s">
        <v>9777</v>
      </c>
      <c r="K711" t="s">
        <v>74</v>
      </c>
      <c r="L711" t="s">
        <v>74</v>
      </c>
      <c r="M711" t="s">
        <v>77</v>
      </c>
      <c r="N711" t="s">
        <v>947</v>
      </c>
      <c r="O711" t="s">
        <v>74</v>
      </c>
      <c r="P711" t="s">
        <v>74</v>
      </c>
      <c r="Q711" t="s">
        <v>74</v>
      </c>
      <c r="R711" t="s">
        <v>74</v>
      </c>
      <c r="S711" t="s">
        <v>74</v>
      </c>
      <c r="T711" t="s">
        <v>74</v>
      </c>
      <c r="U711" t="s">
        <v>9778</v>
      </c>
      <c r="V711" t="s">
        <v>9779</v>
      </c>
      <c r="W711" t="s">
        <v>9780</v>
      </c>
      <c r="X711" t="s">
        <v>9781</v>
      </c>
      <c r="Y711" t="s">
        <v>9782</v>
      </c>
      <c r="Z711" t="s">
        <v>9783</v>
      </c>
      <c r="AA711" t="s">
        <v>74</v>
      </c>
      <c r="AB711" t="s">
        <v>74</v>
      </c>
      <c r="AC711" t="s">
        <v>74</v>
      </c>
      <c r="AD711" t="s">
        <v>74</v>
      </c>
      <c r="AE711" t="s">
        <v>74</v>
      </c>
      <c r="AF711" t="s">
        <v>74</v>
      </c>
      <c r="AG711">
        <v>107</v>
      </c>
      <c r="AH711">
        <v>12</v>
      </c>
      <c r="AI711">
        <v>16</v>
      </c>
      <c r="AJ711">
        <v>0</v>
      </c>
      <c r="AK711">
        <v>31</v>
      </c>
      <c r="AL711" t="s">
        <v>9784</v>
      </c>
      <c r="AM711" t="s">
        <v>9785</v>
      </c>
      <c r="AN711" t="s">
        <v>9786</v>
      </c>
      <c r="AO711" t="s">
        <v>9787</v>
      </c>
      <c r="AP711" t="s">
        <v>9788</v>
      </c>
      <c r="AQ711" t="s">
        <v>74</v>
      </c>
      <c r="AR711" t="s">
        <v>9789</v>
      </c>
      <c r="AS711" t="s">
        <v>9790</v>
      </c>
      <c r="AT711" t="s">
        <v>74</v>
      </c>
      <c r="AU711">
        <v>2002</v>
      </c>
      <c r="AV711">
        <v>42</v>
      </c>
      <c r="AW711">
        <v>1</v>
      </c>
      <c r="AX711" t="s">
        <v>74</v>
      </c>
      <c r="AY711" t="s">
        <v>74</v>
      </c>
      <c r="AZ711" t="s">
        <v>74</v>
      </c>
      <c r="BA711" t="s">
        <v>74</v>
      </c>
      <c r="BB711">
        <v>43</v>
      </c>
      <c r="BC711">
        <v>54</v>
      </c>
      <c r="BD711" t="s">
        <v>74</v>
      </c>
      <c r="BE711" t="s">
        <v>9791</v>
      </c>
      <c r="BF711" t="str">
        <f>HYPERLINK("http://dx.doi.org/10.1560/VM6G-LWEC-H5EX-39NR","http://dx.doi.org/10.1560/VM6G-LWEC-H5EX-39NR")</f>
        <v>http://dx.doi.org/10.1560/VM6G-LWEC-H5EX-39NR</v>
      </c>
      <c r="BG711" t="s">
        <v>74</v>
      </c>
      <c r="BH711" t="s">
        <v>74</v>
      </c>
      <c r="BI711">
        <v>12</v>
      </c>
      <c r="BJ711" t="s">
        <v>3555</v>
      </c>
      <c r="BK711" t="s">
        <v>170</v>
      </c>
      <c r="BL711" t="s">
        <v>2189</v>
      </c>
      <c r="BM711" t="s">
        <v>9792</v>
      </c>
      <c r="BN711" t="s">
        <v>74</v>
      </c>
      <c r="BO711" t="s">
        <v>74</v>
      </c>
      <c r="BP711" t="s">
        <v>74</v>
      </c>
      <c r="BQ711" t="s">
        <v>74</v>
      </c>
      <c r="BR711" t="s">
        <v>107</v>
      </c>
      <c r="BS711" t="s">
        <v>9793</v>
      </c>
      <c r="BT711" t="str">
        <f>HYPERLINK("https%3A%2F%2Fwww.webofscience.com%2Fwos%2Fwoscc%2Ffull-record%2FWOS:000180234600005","View Full Record in Web of Science")</f>
        <v>View Full Record in Web of Science</v>
      </c>
    </row>
    <row r="712" spans="1:72" x14ac:dyDescent="0.15">
      <c r="A712" t="s">
        <v>72</v>
      </c>
      <c r="B712" t="s">
        <v>9794</v>
      </c>
      <c r="C712" t="s">
        <v>74</v>
      </c>
      <c r="D712" t="s">
        <v>74</v>
      </c>
      <c r="E712" t="s">
        <v>74</v>
      </c>
      <c r="F712" t="s">
        <v>9794</v>
      </c>
      <c r="G712" t="s">
        <v>74</v>
      </c>
      <c r="H712" t="s">
        <v>74</v>
      </c>
      <c r="I712" t="s">
        <v>9795</v>
      </c>
      <c r="J712" t="s">
        <v>9796</v>
      </c>
      <c r="K712" t="s">
        <v>74</v>
      </c>
      <c r="L712" t="s">
        <v>74</v>
      </c>
      <c r="M712" t="s">
        <v>77</v>
      </c>
      <c r="N712" t="s">
        <v>153</v>
      </c>
      <c r="O712" t="s">
        <v>74</v>
      </c>
      <c r="P712" t="s">
        <v>74</v>
      </c>
      <c r="Q712" t="s">
        <v>74</v>
      </c>
      <c r="R712" t="s">
        <v>74</v>
      </c>
      <c r="S712" t="s">
        <v>74</v>
      </c>
      <c r="T712" t="s">
        <v>74</v>
      </c>
      <c r="U712" t="s">
        <v>9797</v>
      </c>
      <c r="V712" t="s">
        <v>9798</v>
      </c>
      <c r="W712" t="s">
        <v>9799</v>
      </c>
      <c r="X712" t="s">
        <v>1164</v>
      </c>
      <c r="Y712" t="s">
        <v>9800</v>
      </c>
      <c r="Z712" t="s">
        <v>74</v>
      </c>
      <c r="AA712" t="s">
        <v>9801</v>
      </c>
      <c r="AB712" t="s">
        <v>9802</v>
      </c>
      <c r="AC712" t="s">
        <v>74</v>
      </c>
      <c r="AD712" t="s">
        <v>74</v>
      </c>
      <c r="AE712" t="s">
        <v>74</v>
      </c>
      <c r="AF712" t="s">
        <v>74</v>
      </c>
      <c r="AG712">
        <v>35</v>
      </c>
      <c r="AH712">
        <v>33</v>
      </c>
      <c r="AI712">
        <v>34</v>
      </c>
      <c r="AJ712">
        <v>2</v>
      </c>
      <c r="AK712">
        <v>21</v>
      </c>
      <c r="AL712" t="s">
        <v>9803</v>
      </c>
      <c r="AM712" t="s">
        <v>5426</v>
      </c>
      <c r="AN712" t="s">
        <v>9804</v>
      </c>
      <c r="AO712" t="s">
        <v>9805</v>
      </c>
      <c r="AP712" t="s">
        <v>9806</v>
      </c>
      <c r="AQ712" t="s">
        <v>74</v>
      </c>
      <c r="AR712" t="s">
        <v>9807</v>
      </c>
      <c r="AS712" t="s">
        <v>9808</v>
      </c>
      <c r="AT712" t="s">
        <v>74</v>
      </c>
      <c r="AU712">
        <v>2002</v>
      </c>
      <c r="AV712">
        <v>17</v>
      </c>
      <c r="AW712">
        <v>8</v>
      </c>
      <c r="AX712" t="s">
        <v>74</v>
      </c>
      <c r="AY712" t="s">
        <v>74</v>
      </c>
      <c r="AZ712" t="s">
        <v>74</v>
      </c>
      <c r="BA712" t="s">
        <v>74</v>
      </c>
      <c r="BB712">
        <v>922</v>
      </c>
      <c r="BC712">
        <v>928</v>
      </c>
      <c r="BD712" t="s">
        <v>74</v>
      </c>
      <c r="BE712" t="s">
        <v>9809</v>
      </c>
      <c r="BF712" t="str">
        <f>HYPERLINK("http://dx.doi.org/10.1039/b203449m","http://dx.doi.org/10.1039/b203449m")</f>
        <v>http://dx.doi.org/10.1039/b203449m</v>
      </c>
      <c r="BG712" t="s">
        <v>74</v>
      </c>
      <c r="BH712" t="s">
        <v>74</v>
      </c>
      <c r="BI712">
        <v>7</v>
      </c>
      <c r="BJ712" t="s">
        <v>9810</v>
      </c>
      <c r="BK712" t="s">
        <v>170</v>
      </c>
      <c r="BL712" t="s">
        <v>9811</v>
      </c>
      <c r="BM712" t="s">
        <v>9812</v>
      </c>
      <c r="BN712" t="s">
        <v>74</v>
      </c>
      <c r="BO712" t="s">
        <v>665</v>
      </c>
      <c r="BP712" t="s">
        <v>74</v>
      </c>
      <c r="BQ712" t="s">
        <v>74</v>
      </c>
      <c r="BR712" t="s">
        <v>107</v>
      </c>
      <c r="BS712" t="s">
        <v>9813</v>
      </c>
      <c r="BT712" t="str">
        <f>HYPERLINK("https%3A%2F%2Fwww.webofscience.com%2Fwos%2Fwoscc%2Ffull-record%2FWOS:000177254600027","View Full Record in Web of Science")</f>
        <v>View Full Record in Web of Science</v>
      </c>
    </row>
    <row r="713" spans="1:72" x14ac:dyDescent="0.15">
      <c r="A713" t="s">
        <v>72</v>
      </c>
      <c r="B713" t="s">
        <v>9814</v>
      </c>
      <c r="C713" t="s">
        <v>74</v>
      </c>
      <c r="D713" t="s">
        <v>74</v>
      </c>
      <c r="E713" t="s">
        <v>74</v>
      </c>
      <c r="F713" t="s">
        <v>9814</v>
      </c>
      <c r="G713" t="s">
        <v>74</v>
      </c>
      <c r="H713" t="s">
        <v>74</v>
      </c>
      <c r="I713" t="s">
        <v>9815</v>
      </c>
      <c r="J713" t="s">
        <v>9816</v>
      </c>
      <c r="K713" t="s">
        <v>74</v>
      </c>
      <c r="L713" t="s">
        <v>74</v>
      </c>
      <c r="M713" t="s">
        <v>77</v>
      </c>
      <c r="N713" t="s">
        <v>153</v>
      </c>
      <c r="O713" t="s">
        <v>74</v>
      </c>
      <c r="P713" t="s">
        <v>74</v>
      </c>
      <c r="Q713" t="s">
        <v>74</v>
      </c>
      <c r="R713" t="s">
        <v>74</v>
      </c>
      <c r="S713" t="s">
        <v>74</v>
      </c>
      <c r="T713" t="s">
        <v>9817</v>
      </c>
      <c r="U713" t="s">
        <v>9818</v>
      </c>
      <c r="V713" t="s">
        <v>9819</v>
      </c>
      <c r="W713" t="s">
        <v>9820</v>
      </c>
      <c r="X713" t="s">
        <v>9821</v>
      </c>
      <c r="Y713" t="s">
        <v>9822</v>
      </c>
      <c r="Z713" t="s">
        <v>9823</v>
      </c>
      <c r="AA713" t="s">
        <v>9824</v>
      </c>
      <c r="AB713" t="s">
        <v>9825</v>
      </c>
      <c r="AC713" t="s">
        <v>74</v>
      </c>
      <c r="AD713" t="s">
        <v>74</v>
      </c>
      <c r="AE713" t="s">
        <v>74</v>
      </c>
      <c r="AF713" t="s">
        <v>74</v>
      </c>
      <c r="AG713">
        <v>63</v>
      </c>
      <c r="AH713">
        <v>91</v>
      </c>
      <c r="AI713">
        <v>96</v>
      </c>
      <c r="AJ713">
        <v>2</v>
      </c>
      <c r="AK713">
        <v>48</v>
      </c>
      <c r="AL713" t="s">
        <v>394</v>
      </c>
      <c r="AM713" t="s">
        <v>395</v>
      </c>
      <c r="AN713" t="s">
        <v>396</v>
      </c>
      <c r="AO713" t="s">
        <v>9826</v>
      </c>
      <c r="AP713" t="s">
        <v>9827</v>
      </c>
      <c r="AQ713" t="s">
        <v>74</v>
      </c>
      <c r="AR713" t="s">
        <v>9828</v>
      </c>
      <c r="AS713" t="s">
        <v>9829</v>
      </c>
      <c r="AT713" t="s">
        <v>7127</v>
      </c>
      <c r="AU713">
        <v>2002</v>
      </c>
      <c r="AV713">
        <v>71</v>
      </c>
      <c r="AW713">
        <v>1</v>
      </c>
      <c r="AX713" t="s">
        <v>74</v>
      </c>
      <c r="AY713" t="s">
        <v>74</v>
      </c>
      <c r="AZ713" t="s">
        <v>74</v>
      </c>
      <c r="BA713" t="s">
        <v>74</v>
      </c>
      <c r="BB713">
        <v>65</v>
      </c>
      <c r="BC713">
        <v>78</v>
      </c>
      <c r="BD713" t="s">
        <v>74</v>
      </c>
      <c r="BE713" t="s">
        <v>9830</v>
      </c>
      <c r="BF713" t="str">
        <f>HYPERLINK("http://dx.doi.org/10.1046/j.0021-8790.2001.00576.x","http://dx.doi.org/10.1046/j.0021-8790.2001.00576.x")</f>
        <v>http://dx.doi.org/10.1046/j.0021-8790.2001.00576.x</v>
      </c>
      <c r="BG713" t="s">
        <v>74</v>
      </c>
      <c r="BH713" t="s">
        <v>74</v>
      </c>
      <c r="BI713">
        <v>14</v>
      </c>
      <c r="BJ713" t="s">
        <v>1940</v>
      </c>
      <c r="BK713" t="s">
        <v>170</v>
      </c>
      <c r="BL713" t="s">
        <v>1941</v>
      </c>
      <c r="BM713" t="s">
        <v>9831</v>
      </c>
      <c r="BN713" t="s">
        <v>74</v>
      </c>
      <c r="BO713" t="s">
        <v>173</v>
      </c>
      <c r="BP713" t="s">
        <v>74</v>
      </c>
      <c r="BQ713" t="s">
        <v>74</v>
      </c>
      <c r="BR713" t="s">
        <v>107</v>
      </c>
      <c r="BS713" t="s">
        <v>9832</v>
      </c>
      <c r="BT713" t="str">
        <f>HYPERLINK("https%3A%2F%2Fwww.webofscience.com%2Fwos%2Fwoscc%2Ffull-record%2FWOS:000174217100008","View Full Record in Web of Science")</f>
        <v>View Full Record in Web of Science</v>
      </c>
    </row>
    <row r="714" spans="1:72" x14ac:dyDescent="0.15">
      <c r="A714" t="s">
        <v>72</v>
      </c>
      <c r="B714" t="s">
        <v>9833</v>
      </c>
      <c r="C714" t="s">
        <v>74</v>
      </c>
      <c r="D714" t="s">
        <v>74</v>
      </c>
      <c r="E714" t="s">
        <v>74</v>
      </c>
      <c r="F714" t="s">
        <v>9833</v>
      </c>
      <c r="G714" t="s">
        <v>74</v>
      </c>
      <c r="H714" t="s">
        <v>74</v>
      </c>
      <c r="I714" t="s">
        <v>9834</v>
      </c>
      <c r="J714" t="s">
        <v>9835</v>
      </c>
      <c r="K714" t="s">
        <v>74</v>
      </c>
      <c r="L714" t="s">
        <v>74</v>
      </c>
      <c r="M714" t="s">
        <v>77</v>
      </c>
      <c r="N714" t="s">
        <v>153</v>
      </c>
      <c r="O714" t="s">
        <v>74</v>
      </c>
      <c r="P714" t="s">
        <v>74</v>
      </c>
      <c r="Q714" t="s">
        <v>74</v>
      </c>
      <c r="R714" t="s">
        <v>74</v>
      </c>
      <c r="S714" t="s">
        <v>74</v>
      </c>
      <c r="T714" t="s">
        <v>74</v>
      </c>
      <c r="U714" t="s">
        <v>9836</v>
      </c>
      <c r="V714" t="s">
        <v>9837</v>
      </c>
      <c r="W714" t="s">
        <v>9838</v>
      </c>
      <c r="X714" t="s">
        <v>9839</v>
      </c>
      <c r="Y714" t="s">
        <v>9840</v>
      </c>
      <c r="Z714" t="s">
        <v>74</v>
      </c>
      <c r="AA714" t="s">
        <v>9841</v>
      </c>
      <c r="AB714" t="s">
        <v>74</v>
      </c>
      <c r="AC714" t="s">
        <v>74</v>
      </c>
      <c r="AD714" t="s">
        <v>74</v>
      </c>
      <c r="AE714" t="s">
        <v>74</v>
      </c>
      <c r="AF714" t="s">
        <v>74</v>
      </c>
      <c r="AG714">
        <v>26</v>
      </c>
      <c r="AH714">
        <v>4</v>
      </c>
      <c r="AI714">
        <v>5</v>
      </c>
      <c r="AJ714">
        <v>0</v>
      </c>
      <c r="AK714">
        <v>1</v>
      </c>
      <c r="AL714" t="s">
        <v>9842</v>
      </c>
      <c r="AM714" t="s">
        <v>9843</v>
      </c>
      <c r="AN714" t="s">
        <v>9844</v>
      </c>
      <c r="AO714" t="s">
        <v>9845</v>
      </c>
      <c r="AP714" t="s">
        <v>74</v>
      </c>
      <c r="AQ714" t="s">
        <v>74</v>
      </c>
      <c r="AR714" t="s">
        <v>9846</v>
      </c>
      <c r="AS714" t="s">
        <v>9847</v>
      </c>
      <c r="AT714" t="s">
        <v>7731</v>
      </c>
      <c r="AU714">
        <v>2002</v>
      </c>
      <c r="AV714">
        <v>85</v>
      </c>
      <c r="AW714">
        <v>1</v>
      </c>
      <c r="AX714" t="s">
        <v>74</v>
      </c>
      <c r="AY714" t="s">
        <v>74</v>
      </c>
      <c r="AZ714" t="s">
        <v>74</v>
      </c>
      <c r="BA714" t="s">
        <v>74</v>
      </c>
      <c r="BB714">
        <v>141</v>
      </c>
      <c r="BC714">
        <v>145</v>
      </c>
      <c r="BD714" t="s">
        <v>74</v>
      </c>
      <c r="BE714" t="s">
        <v>74</v>
      </c>
      <c r="BF714" t="s">
        <v>74</v>
      </c>
      <c r="BG714" t="s">
        <v>74</v>
      </c>
      <c r="BH714" t="s">
        <v>74</v>
      </c>
      <c r="BI714">
        <v>5</v>
      </c>
      <c r="BJ714" t="s">
        <v>9848</v>
      </c>
      <c r="BK714" t="s">
        <v>170</v>
      </c>
      <c r="BL714" t="s">
        <v>9512</v>
      </c>
      <c r="BM714" t="s">
        <v>9849</v>
      </c>
      <c r="BN714">
        <v>11878593</v>
      </c>
      <c r="BO714" t="s">
        <v>74</v>
      </c>
      <c r="BP714" t="s">
        <v>74</v>
      </c>
      <c r="BQ714" t="s">
        <v>74</v>
      </c>
      <c r="BR714" t="s">
        <v>107</v>
      </c>
      <c r="BS714" t="s">
        <v>9850</v>
      </c>
      <c r="BT714" t="str">
        <f>HYPERLINK("https%3A%2F%2Fwww.webofscience.com%2Fwos%2Fwoscc%2Ffull-record%2FWOS:000173893000020","View Full Record in Web of Science")</f>
        <v>View Full Record in Web of Science</v>
      </c>
    </row>
    <row r="715" spans="1:72" x14ac:dyDescent="0.15">
      <c r="A715" t="s">
        <v>72</v>
      </c>
      <c r="B715" t="s">
        <v>9851</v>
      </c>
      <c r="C715" t="s">
        <v>74</v>
      </c>
      <c r="D715" t="s">
        <v>74</v>
      </c>
      <c r="E715" t="s">
        <v>74</v>
      </c>
      <c r="F715" t="s">
        <v>9851</v>
      </c>
      <c r="G715" t="s">
        <v>74</v>
      </c>
      <c r="H715" t="s">
        <v>74</v>
      </c>
      <c r="I715" t="s">
        <v>9852</v>
      </c>
      <c r="J715" t="s">
        <v>2636</v>
      </c>
      <c r="K715" t="s">
        <v>74</v>
      </c>
      <c r="L715" t="s">
        <v>74</v>
      </c>
      <c r="M715" t="s">
        <v>77</v>
      </c>
      <c r="N715" t="s">
        <v>153</v>
      </c>
      <c r="O715" t="s">
        <v>74</v>
      </c>
      <c r="P715" t="s">
        <v>74</v>
      </c>
      <c r="Q715" t="s">
        <v>74</v>
      </c>
      <c r="R715" t="s">
        <v>74</v>
      </c>
      <c r="S715" t="s">
        <v>74</v>
      </c>
      <c r="T715" t="s">
        <v>9853</v>
      </c>
      <c r="U715" t="s">
        <v>9854</v>
      </c>
      <c r="V715" t="s">
        <v>9855</v>
      </c>
      <c r="W715" t="s">
        <v>2466</v>
      </c>
      <c r="X715" t="s">
        <v>852</v>
      </c>
      <c r="Y715" t="s">
        <v>9856</v>
      </c>
      <c r="Z715" t="s">
        <v>74</v>
      </c>
      <c r="AA715" t="s">
        <v>74</v>
      </c>
      <c r="AB715" t="s">
        <v>74</v>
      </c>
      <c r="AC715" t="s">
        <v>74</v>
      </c>
      <c r="AD715" t="s">
        <v>74</v>
      </c>
      <c r="AE715" t="s">
        <v>74</v>
      </c>
      <c r="AF715" t="s">
        <v>74</v>
      </c>
      <c r="AG715">
        <v>12</v>
      </c>
      <c r="AH715">
        <v>7</v>
      </c>
      <c r="AI715">
        <v>7</v>
      </c>
      <c r="AJ715">
        <v>0</v>
      </c>
      <c r="AK715">
        <v>1</v>
      </c>
      <c r="AL715" t="s">
        <v>1013</v>
      </c>
      <c r="AM715" t="s">
        <v>895</v>
      </c>
      <c r="AN715" t="s">
        <v>1014</v>
      </c>
      <c r="AO715" t="s">
        <v>2650</v>
      </c>
      <c r="AP715" t="s">
        <v>74</v>
      </c>
      <c r="AQ715" t="s">
        <v>74</v>
      </c>
      <c r="AR715" t="s">
        <v>2652</v>
      </c>
      <c r="AS715" t="s">
        <v>2653</v>
      </c>
      <c r="AT715" t="s">
        <v>7127</v>
      </c>
      <c r="AU715">
        <v>2002</v>
      </c>
      <c r="AV715">
        <v>64</v>
      </c>
      <c r="AW715">
        <v>1</v>
      </c>
      <c r="AX715" t="s">
        <v>74</v>
      </c>
      <c r="AY715" t="s">
        <v>74</v>
      </c>
      <c r="AZ715" t="s">
        <v>74</v>
      </c>
      <c r="BA715" t="s">
        <v>74</v>
      </c>
      <c r="BB715">
        <v>41</v>
      </c>
      <c r="BC715">
        <v>45</v>
      </c>
      <c r="BD715" t="s">
        <v>74</v>
      </c>
      <c r="BE715" t="s">
        <v>9857</v>
      </c>
      <c r="BF715" t="str">
        <f>HYPERLINK("http://dx.doi.org/10.1016/S1364-6826(01)00092-X","http://dx.doi.org/10.1016/S1364-6826(01)00092-X")</f>
        <v>http://dx.doi.org/10.1016/S1364-6826(01)00092-X</v>
      </c>
      <c r="BG715" t="s">
        <v>74</v>
      </c>
      <c r="BH715" t="s">
        <v>74</v>
      </c>
      <c r="BI715">
        <v>5</v>
      </c>
      <c r="BJ715" t="s">
        <v>2658</v>
      </c>
      <c r="BK715" t="s">
        <v>170</v>
      </c>
      <c r="BL715" t="s">
        <v>2658</v>
      </c>
      <c r="BM715" t="s">
        <v>9858</v>
      </c>
      <c r="BN715" t="s">
        <v>74</v>
      </c>
      <c r="BO715" t="s">
        <v>74</v>
      </c>
      <c r="BP715" t="s">
        <v>74</v>
      </c>
      <c r="BQ715" t="s">
        <v>74</v>
      </c>
      <c r="BR715" t="s">
        <v>107</v>
      </c>
      <c r="BS715" t="s">
        <v>9859</v>
      </c>
      <c r="BT715" t="str">
        <f>HYPERLINK("https%3A%2F%2Fwww.webofscience.com%2Fwos%2Fwoscc%2Ffull-record%2FWOS:000173379100005","View Full Record in Web of Science")</f>
        <v>View Full Record in Web of Science</v>
      </c>
    </row>
    <row r="716" spans="1:72" x14ac:dyDescent="0.15">
      <c r="A716" t="s">
        <v>72</v>
      </c>
      <c r="B716" t="s">
        <v>9860</v>
      </c>
      <c r="C716" t="s">
        <v>74</v>
      </c>
      <c r="D716" t="s">
        <v>74</v>
      </c>
      <c r="E716" t="s">
        <v>74</v>
      </c>
      <c r="F716" t="s">
        <v>9860</v>
      </c>
      <c r="G716" t="s">
        <v>74</v>
      </c>
      <c r="H716" t="s">
        <v>74</v>
      </c>
      <c r="I716" t="s">
        <v>9861</v>
      </c>
      <c r="J716" t="s">
        <v>9862</v>
      </c>
      <c r="K716" t="s">
        <v>74</v>
      </c>
      <c r="L716" t="s">
        <v>74</v>
      </c>
      <c r="M716" t="s">
        <v>77</v>
      </c>
      <c r="N716" t="s">
        <v>153</v>
      </c>
      <c r="O716" t="s">
        <v>74</v>
      </c>
      <c r="P716" t="s">
        <v>74</v>
      </c>
      <c r="Q716" t="s">
        <v>74</v>
      </c>
      <c r="R716" t="s">
        <v>74</v>
      </c>
      <c r="S716" t="s">
        <v>74</v>
      </c>
      <c r="T716" t="s">
        <v>9863</v>
      </c>
      <c r="U716" t="s">
        <v>9864</v>
      </c>
      <c r="V716" t="s">
        <v>9865</v>
      </c>
      <c r="W716" t="s">
        <v>851</v>
      </c>
      <c r="X716" t="s">
        <v>852</v>
      </c>
      <c r="Y716" t="s">
        <v>9866</v>
      </c>
      <c r="Z716" t="s">
        <v>74</v>
      </c>
      <c r="AA716" t="s">
        <v>9867</v>
      </c>
      <c r="AB716" t="s">
        <v>9868</v>
      </c>
      <c r="AC716" t="s">
        <v>5342</v>
      </c>
      <c r="AD716" t="s">
        <v>5343</v>
      </c>
      <c r="AE716" t="s">
        <v>74</v>
      </c>
      <c r="AF716" t="s">
        <v>74</v>
      </c>
      <c r="AG716">
        <v>60</v>
      </c>
      <c r="AH716">
        <v>28</v>
      </c>
      <c r="AI716">
        <v>31</v>
      </c>
      <c r="AJ716">
        <v>0</v>
      </c>
      <c r="AK716">
        <v>12</v>
      </c>
      <c r="AL716" t="s">
        <v>5344</v>
      </c>
      <c r="AM716" t="s">
        <v>5345</v>
      </c>
      <c r="AN716" t="s">
        <v>5346</v>
      </c>
      <c r="AO716" t="s">
        <v>9869</v>
      </c>
      <c r="AP716" t="s">
        <v>74</v>
      </c>
      <c r="AQ716" t="s">
        <v>74</v>
      </c>
      <c r="AR716" t="s">
        <v>9870</v>
      </c>
      <c r="AS716" t="s">
        <v>9871</v>
      </c>
      <c r="AT716" t="s">
        <v>74</v>
      </c>
      <c r="AU716">
        <v>2002</v>
      </c>
      <c r="AV716">
        <v>24</v>
      </c>
      <c r="AW716" t="s">
        <v>74</v>
      </c>
      <c r="AX716">
        <v>2</v>
      </c>
      <c r="AY716" t="s">
        <v>74</v>
      </c>
      <c r="AZ716" t="s">
        <v>74</v>
      </c>
      <c r="BA716" t="s">
        <v>74</v>
      </c>
      <c r="BB716">
        <v>107</v>
      </c>
      <c r="BC716">
        <v>117</v>
      </c>
      <c r="BD716" t="s">
        <v>74</v>
      </c>
      <c r="BE716" t="s">
        <v>9872</v>
      </c>
      <c r="BF716" t="str">
        <f>HYPERLINK("http://dx.doi.org/10.1179/037366802125000962","http://dx.doi.org/10.1179/037366802125000962")</f>
        <v>http://dx.doi.org/10.1179/037366802125000962</v>
      </c>
      <c r="BG716" t="s">
        <v>74</v>
      </c>
      <c r="BH716" t="s">
        <v>74</v>
      </c>
      <c r="BI716">
        <v>11</v>
      </c>
      <c r="BJ716" t="s">
        <v>2396</v>
      </c>
      <c r="BK716" t="s">
        <v>170</v>
      </c>
      <c r="BL716" t="s">
        <v>2396</v>
      </c>
      <c r="BM716" t="s">
        <v>9873</v>
      </c>
      <c r="BN716" t="s">
        <v>74</v>
      </c>
      <c r="BO716" t="s">
        <v>74</v>
      </c>
      <c r="BP716" t="s">
        <v>74</v>
      </c>
      <c r="BQ716" t="s">
        <v>74</v>
      </c>
      <c r="BR716" t="s">
        <v>107</v>
      </c>
      <c r="BS716" t="s">
        <v>9874</v>
      </c>
      <c r="BT716" t="str">
        <f>HYPERLINK("https%3A%2F%2Fwww.webofscience.com%2Fwos%2Fwoscc%2Ffull-record%2FWOS:000176954700001","View Full Record in Web of Science")</f>
        <v>View Full Record in Web of Science</v>
      </c>
    </row>
    <row r="717" spans="1:72" x14ac:dyDescent="0.15">
      <c r="A717" t="s">
        <v>72</v>
      </c>
      <c r="B717" t="s">
        <v>9875</v>
      </c>
      <c r="C717" t="s">
        <v>74</v>
      </c>
      <c r="D717" t="s">
        <v>74</v>
      </c>
      <c r="E717" t="s">
        <v>74</v>
      </c>
      <c r="F717" t="s">
        <v>9875</v>
      </c>
      <c r="G717" t="s">
        <v>74</v>
      </c>
      <c r="H717" t="s">
        <v>74</v>
      </c>
      <c r="I717" t="s">
        <v>9876</v>
      </c>
      <c r="J717" t="s">
        <v>1430</v>
      </c>
      <c r="K717" t="s">
        <v>74</v>
      </c>
      <c r="L717" t="s">
        <v>74</v>
      </c>
      <c r="M717" t="s">
        <v>77</v>
      </c>
      <c r="N717" t="s">
        <v>153</v>
      </c>
      <c r="O717" t="s">
        <v>74</v>
      </c>
      <c r="P717" t="s">
        <v>74</v>
      </c>
      <c r="Q717" t="s">
        <v>74</v>
      </c>
      <c r="R717" t="s">
        <v>74</v>
      </c>
      <c r="S717" t="s">
        <v>74</v>
      </c>
      <c r="T717" t="s">
        <v>74</v>
      </c>
      <c r="U717" t="s">
        <v>9877</v>
      </c>
      <c r="V717" t="s">
        <v>9878</v>
      </c>
      <c r="W717" t="s">
        <v>9879</v>
      </c>
      <c r="X717" t="s">
        <v>9880</v>
      </c>
      <c r="Y717" t="s">
        <v>7272</v>
      </c>
      <c r="Z717" t="s">
        <v>9881</v>
      </c>
      <c r="AA717" t="s">
        <v>9882</v>
      </c>
      <c r="AB717" t="s">
        <v>9883</v>
      </c>
      <c r="AC717" t="s">
        <v>74</v>
      </c>
      <c r="AD717" t="s">
        <v>74</v>
      </c>
      <c r="AE717" t="s">
        <v>74</v>
      </c>
      <c r="AF717" t="s">
        <v>74</v>
      </c>
      <c r="AG717">
        <v>24</v>
      </c>
      <c r="AH717">
        <v>242</v>
      </c>
      <c r="AI717">
        <v>276</v>
      </c>
      <c r="AJ717">
        <v>0</v>
      </c>
      <c r="AK717">
        <v>47</v>
      </c>
      <c r="AL717" t="s">
        <v>1439</v>
      </c>
      <c r="AM717" t="s">
        <v>1440</v>
      </c>
      <c r="AN717" t="s">
        <v>1441</v>
      </c>
      <c r="AO717" t="s">
        <v>1442</v>
      </c>
      <c r="AP717" t="s">
        <v>1443</v>
      </c>
      <c r="AQ717" t="s">
        <v>74</v>
      </c>
      <c r="AR717" t="s">
        <v>1444</v>
      </c>
      <c r="AS717" t="s">
        <v>1445</v>
      </c>
      <c r="AT717" t="s">
        <v>74</v>
      </c>
      <c r="AU717">
        <v>2002</v>
      </c>
      <c r="AV717">
        <v>15</v>
      </c>
      <c r="AW717">
        <v>5</v>
      </c>
      <c r="AX717" t="s">
        <v>74</v>
      </c>
      <c r="AY717" t="s">
        <v>74</v>
      </c>
      <c r="AZ717" t="s">
        <v>74</v>
      </c>
      <c r="BA717" t="s">
        <v>74</v>
      </c>
      <c r="BB717">
        <v>487</v>
      </c>
      <c r="BC717">
        <v>501</v>
      </c>
      <c r="BD717" t="s">
        <v>74</v>
      </c>
      <c r="BE717" t="s">
        <v>9884</v>
      </c>
      <c r="BF717" t="str">
        <f>HYPERLINK("http://dx.doi.org/10.1175/1520-0442(2002)015&lt;0487:SOCASI&gt;2.0.CO;2","http://dx.doi.org/10.1175/1520-0442(2002)015&lt;0487:SOCASI&gt;2.0.CO;2")</f>
        <v>http://dx.doi.org/10.1175/1520-0442(2002)015&lt;0487:SOCASI&gt;2.0.CO;2</v>
      </c>
      <c r="BG717" t="s">
        <v>74</v>
      </c>
      <c r="BH717" t="s">
        <v>74</v>
      </c>
      <c r="BI717">
        <v>15</v>
      </c>
      <c r="BJ717" t="s">
        <v>403</v>
      </c>
      <c r="BK717" t="s">
        <v>170</v>
      </c>
      <c r="BL717" t="s">
        <v>403</v>
      </c>
      <c r="BM717" t="s">
        <v>9885</v>
      </c>
      <c r="BN717" t="s">
        <v>74</v>
      </c>
      <c r="BO717" t="s">
        <v>665</v>
      </c>
      <c r="BP717" t="s">
        <v>74</v>
      </c>
      <c r="BQ717" t="s">
        <v>74</v>
      </c>
      <c r="BR717" t="s">
        <v>107</v>
      </c>
      <c r="BS717" t="s">
        <v>9886</v>
      </c>
      <c r="BT717" t="str">
        <f>HYPERLINK("https%3A%2F%2Fwww.webofscience.com%2Fwos%2Fwoscc%2Ffull-record%2FWOS:000173737900003","View Full Record in Web of Science")</f>
        <v>View Full Record in Web of Science</v>
      </c>
    </row>
    <row r="718" spans="1:72" x14ac:dyDescent="0.15">
      <c r="A718" t="s">
        <v>72</v>
      </c>
      <c r="B718" t="s">
        <v>9887</v>
      </c>
      <c r="C718" t="s">
        <v>74</v>
      </c>
      <c r="D718" t="s">
        <v>74</v>
      </c>
      <c r="E718" t="s">
        <v>74</v>
      </c>
      <c r="F718" t="s">
        <v>9887</v>
      </c>
      <c r="G718" t="s">
        <v>74</v>
      </c>
      <c r="H718" t="s">
        <v>74</v>
      </c>
      <c r="I718" t="s">
        <v>9888</v>
      </c>
      <c r="J718" t="s">
        <v>1430</v>
      </c>
      <c r="K718" t="s">
        <v>74</v>
      </c>
      <c r="L718" t="s">
        <v>74</v>
      </c>
      <c r="M718" t="s">
        <v>77</v>
      </c>
      <c r="N718" t="s">
        <v>153</v>
      </c>
      <c r="O718" t="s">
        <v>74</v>
      </c>
      <c r="P718" t="s">
        <v>74</v>
      </c>
      <c r="Q718" t="s">
        <v>74</v>
      </c>
      <c r="R718" t="s">
        <v>74</v>
      </c>
      <c r="S718" t="s">
        <v>74</v>
      </c>
      <c r="T718" t="s">
        <v>74</v>
      </c>
      <c r="U718" t="s">
        <v>9889</v>
      </c>
      <c r="V718" t="s">
        <v>9890</v>
      </c>
      <c r="W718" t="s">
        <v>9891</v>
      </c>
      <c r="X718" t="s">
        <v>852</v>
      </c>
      <c r="Y718" t="s">
        <v>9892</v>
      </c>
      <c r="Z718" t="s">
        <v>74</v>
      </c>
      <c r="AA718" t="s">
        <v>74</v>
      </c>
      <c r="AB718" t="s">
        <v>74</v>
      </c>
      <c r="AC718" t="s">
        <v>74</v>
      </c>
      <c r="AD718" t="s">
        <v>74</v>
      </c>
      <c r="AE718" t="s">
        <v>74</v>
      </c>
      <c r="AF718" t="s">
        <v>74</v>
      </c>
      <c r="AG718">
        <v>47</v>
      </c>
      <c r="AH718">
        <v>101</v>
      </c>
      <c r="AI718">
        <v>123</v>
      </c>
      <c r="AJ718">
        <v>0</v>
      </c>
      <c r="AK718">
        <v>12</v>
      </c>
      <c r="AL718" t="s">
        <v>1439</v>
      </c>
      <c r="AM718" t="s">
        <v>1440</v>
      </c>
      <c r="AN718" t="s">
        <v>1441</v>
      </c>
      <c r="AO718" t="s">
        <v>1442</v>
      </c>
      <c r="AP718" t="s">
        <v>74</v>
      </c>
      <c r="AQ718" t="s">
        <v>74</v>
      </c>
      <c r="AR718" t="s">
        <v>1444</v>
      </c>
      <c r="AS718" t="s">
        <v>1445</v>
      </c>
      <c r="AT718" t="s">
        <v>74</v>
      </c>
      <c r="AU718">
        <v>2002</v>
      </c>
      <c r="AV718">
        <v>15</v>
      </c>
      <c r="AW718">
        <v>6</v>
      </c>
      <c r="AX718" t="s">
        <v>74</v>
      </c>
      <c r="AY718" t="s">
        <v>74</v>
      </c>
      <c r="AZ718" t="s">
        <v>74</v>
      </c>
      <c r="BA718" t="s">
        <v>74</v>
      </c>
      <c r="BB718">
        <v>659</v>
      </c>
      <c r="BC718">
        <v>674</v>
      </c>
      <c r="BD718" t="s">
        <v>74</v>
      </c>
      <c r="BE718" t="s">
        <v>9893</v>
      </c>
      <c r="BF718" t="str">
        <f>HYPERLINK("http://dx.doi.org/10.1175/1520-0442(2002)015&lt;0659:TIAGHA&gt;2.0.CO;2","http://dx.doi.org/10.1175/1520-0442(2002)015&lt;0659:TIAGHA&gt;2.0.CO;2")</f>
        <v>http://dx.doi.org/10.1175/1520-0442(2002)015&lt;0659:TIAGHA&gt;2.0.CO;2</v>
      </c>
      <c r="BG718" t="s">
        <v>74</v>
      </c>
      <c r="BH718" t="s">
        <v>74</v>
      </c>
      <c r="BI718">
        <v>16</v>
      </c>
      <c r="BJ718" t="s">
        <v>403</v>
      </c>
      <c r="BK718" t="s">
        <v>170</v>
      </c>
      <c r="BL718" t="s">
        <v>403</v>
      </c>
      <c r="BM718" t="s">
        <v>9894</v>
      </c>
      <c r="BN718" t="s">
        <v>74</v>
      </c>
      <c r="BO718" t="s">
        <v>1682</v>
      </c>
      <c r="BP718" t="s">
        <v>74</v>
      </c>
      <c r="BQ718" t="s">
        <v>74</v>
      </c>
      <c r="BR718" t="s">
        <v>107</v>
      </c>
      <c r="BS718" t="s">
        <v>9895</v>
      </c>
      <c r="BT718" t="str">
        <f>HYPERLINK("https%3A%2F%2Fwww.webofscience.com%2Fwos%2Fwoscc%2Ffull-record%2FWOS:000174020200006","View Full Record in Web of Science")</f>
        <v>View Full Record in Web of Science</v>
      </c>
    </row>
    <row r="719" spans="1:72" x14ac:dyDescent="0.15">
      <c r="A719" t="s">
        <v>72</v>
      </c>
      <c r="B719" t="s">
        <v>9896</v>
      </c>
      <c r="C719" t="s">
        <v>74</v>
      </c>
      <c r="D719" t="s">
        <v>74</v>
      </c>
      <c r="E719" t="s">
        <v>74</v>
      </c>
      <c r="F719" t="s">
        <v>9896</v>
      </c>
      <c r="G719" t="s">
        <v>74</v>
      </c>
      <c r="H719" t="s">
        <v>74</v>
      </c>
      <c r="I719" t="s">
        <v>9897</v>
      </c>
      <c r="J719" t="s">
        <v>2725</v>
      </c>
      <c r="K719" t="s">
        <v>74</v>
      </c>
      <c r="L719" t="s">
        <v>74</v>
      </c>
      <c r="M719" t="s">
        <v>77</v>
      </c>
      <c r="N719" t="s">
        <v>153</v>
      </c>
      <c r="O719" t="s">
        <v>74</v>
      </c>
      <c r="P719" t="s">
        <v>74</v>
      </c>
      <c r="Q719" t="s">
        <v>74</v>
      </c>
      <c r="R719" t="s">
        <v>74</v>
      </c>
      <c r="S719" t="s">
        <v>74</v>
      </c>
      <c r="T719" t="s">
        <v>9898</v>
      </c>
      <c r="U719" t="s">
        <v>9899</v>
      </c>
      <c r="V719" t="s">
        <v>9900</v>
      </c>
      <c r="W719" t="s">
        <v>9901</v>
      </c>
      <c r="X719" t="s">
        <v>9902</v>
      </c>
      <c r="Y719" t="s">
        <v>5516</v>
      </c>
      <c r="Z719" t="s">
        <v>5517</v>
      </c>
      <c r="AA719" t="s">
        <v>9903</v>
      </c>
      <c r="AB719" t="s">
        <v>9904</v>
      </c>
      <c r="AC719" t="s">
        <v>74</v>
      </c>
      <c r="AD719" t="s">
        <v>74</v>
      </c>
      <c r="AE719" t="s">
        <v>74</v>
      </c>
      <c r="AF719" t="s">
        <v>74</v>
      </c>
      <c r="AG719">
        <v>64</v>
      </c>
      <c r="AH719">
        <v>22</v>
      </c>
      <c r="AI719">
        <v>24</v>
      </c>
      <c r="AJ719">
        <v>0</v>
      </c>
      <c r="AK719">
        <v>15</v>
      </c>
      <c r="AL719" t="s">
        <v>2732</v>
      </c>
      <c r="AM719" t="s">
        <v>2733</v>
      </c>
      <c r="AN719" t="s">
        <v>2734</v>
      </c>
      <c r="AO719" t="s">
        <v>2716</v>
      </c>
      <c r="AP719" t="s">
        <v>2735</v>
      </c>
      <c r="AQ719" t="s">
        <v>74</v>
      </c>
      <c r="AR719" t="s">
        <v>2717</v>
      </c>
      <c r="AS719" t="s">
        <v>2718</v>
      </c>
      <c r="AT719" t="s">
        <v>7127</v>
      </c>
      <c r="AU719">
        <v>2002</v>
      </c>
      <c r="AV719">
        <v>172</v>
      </c>
      <c r="AW719">
        <v>1</v>
      </c>
      <c r="AX719" t="s">
        <v>74</v>
      </c>
      <c r="AY719" t="s">
        <v>74</v>
      </c>
      <c r="AZ719" t="s">
        <v>74</v>
      </c>
      <c r="BA719" t="s">
        <v>74</v>
      </c>
      <c r="BB719">
        <v>27</v>
      </c>
      <c r="BC719">
        <v>34</v>
      </c>
      <c r="BD719" t="s">
        <v>74</v>
      </c>
      <c r="BE719" t="s">
        <v>74</v>
      </c>
      <c r="BF719" t="s">
        <v>74</v>
      </c>
      <c r="BG719" t="s">
        <v>74</v>
      </c>
      <c r="BH719" t="s">
        <v>74</v>
      </c>
      <c r="BI719">
        <v>8</v>
      </c>
      <c r="BJ719" t="s">
        <v>2720</v>
      </c>
      <c r="BK719" t="s">
        <v>170</v>
      </c>
      <c r="BL719" t="s">
        <v>2720</v>
      </c>
      <c r="BM719" t="s">
        <v>9905</v>
      </c>
      <c r="BN719">
        <v>11824401</v>
      </c>
      <c r="BO719" t="s">
        <v>74</v>
      </c>
      <c r="BP719" t="s">
        <v>74</v>
      </c>
      <c r="BQ719" t="s">
        <v>74</v>
      </c>
      <c r="BR719" t="s">
        <v>107</v>
      </c>
      <c r="BS719" t="s">
        <v>9906</v>
      </c>
      <c r="BT719" t="str">
        <f>HYPERLINK("https%3A%2F%2Fwww.webofscience.com%2Fwos%2Fwoscc%2Ffull-record%2FWOS:000172940900004","View Full Record in Web of Science")</f>
        <v>View Full Record in Web of Science</v>
      </c>
    </row>
    <row r="720" spans="1:72" x14ac:dyDescent="0.15">
      <c r="A720" t="s">
        <v>72</v>
      </c>
      <c r="B720" t="s">
        <v>9907</v>
      </c>
      <c r="C720" t="s">
        <v>74</v>
      </c>
      <c r="D720" t="s">
        <v>74</v>
      </c>
      <c r="E720" t="s">
        <v>74</v>
      </c>
      <c r="F720" t="s">
        <v>9907</v>
      </c>
      <c r="G720" t="s">
        <v>74</v>
      </c>
      <c r="H720" t="s">
        <v>74</v>
      </c>
      <c r="I720" t="s">
        <v>9908</v>
      </c>
      <c r="J720" t="s">
        <v>9909</v>
      </c>
      <c r="K720" t="s">
        <v>74</v>
      </c>
      <c r="L720" t="s">
        <v>74</v>
      </c>
      <c r="M720" t="s">
        <v>77</v>
      </c>
      <c r="N720" t="s">
        <v>153</v>
      </c>
      <c r="O720" t="s">
        <v>74</v>
      </c>
      <c r="P720" t="s">
        <v>74</v>
      </c>
      <c r="Q720" t="s">
        <v>74</v>
      </c>
      <c r="R720" t="s">
        <v>74</v>
      </c>
      <c r="S720" t="s">
        <v>74</v>
      </c>
      <c r="T720" t="s">
        <v>9910</v>
      </c>
      <c r="U720" t="s">
        <v>9911</v>
      </c>
      <c r="V720" t="s">
        <v>9912</v>
      </c>
      <c r="W720" t="s">
        <v>9913</v>
      </c>
      <c r="X720" t="s">
        <v>9914</v>
      </c>
      <c r="Y720" t="s">
        <v>9915</v>
      </c>
      <c r="Z720" t="s">
        <v>9916</v>
      </c>
      <c r="AA720" t="s">
        <v>9917</v>
      </c>
      <c r="AB720" t="s">
        <v>9918</v>
      </c>
      <c r="AC720" t="s">
        <v>74</v>
      </c>
      <c r="AD720" t="s">
        <v>74</v>
      </c>
      <c r="AE720" t="s">
        <v>74</v>
      </c>
      <c r="AF720" t="s">
        <v>74</v>
      </c>
      <c r="AG720">
        <v>38</v>
      </c>
      <c r="AH720">
        <v>18</v>
      </c>
      <c r="AI720">
        <v>20</v>
      </c>
      <c r="AJ720">
        <v>0</v>
      </c>
      <c r="AK720">
        <v>6</v>
      </c>
      <c r="AL720" t="s">
        <v>894</v>
      </c>
      <c r="AM720" t="s">
        <v>895</v>
      </c>
      <c r="AN720" t="s">
        <v>896</v>
      </c>
      <c r="AO720" t="s">
        <v>9919</v>
      </c>
      <c r="AP720" t="s">
        <v>9920</v>
      </c>
      <c r="AQ720" t="s">
        <v>74</v>
      </c>
      <c r="AR720" t="s">
        <v>9921</v>
      </c>
      <c r="AS720" t="s">
        <v>9922</v>
      </c>
      <c r="AT720" t="s">
        <v>74</v>
      </c>
      <c r="AU720">
        <v>2002</v>
      </c>
      <c r="AV720">
        <v>61</v>
      </c>
      <c r="AW720">
        <v>3</v>
      </c>
      <c r="AX720" t="s">
        <v>74</v>
      </c>
      <c r="AY720" t="s">
        <v>74</v>
      </c>
      <c r="AZ720" t="s">
        <v>74</v>
      </c>
      <c r="BA720" t="s">
        <v>74</v>
      </c>
      <c r="BB720">
        <v>283</v>
      </c>
      <c r="BC720">
        <v>304</v>
      </c>
      <c r="BD720" t="s">
        <v>9923</v>
      </c>
      <c r="BE720" t="s">
        <v>9924</v>
      </c>
      <c r="BF720" t="str">
        <f>HYPERLINK("http://dx.doi.org/10.1016/S0265-931X(01)00137-0","http://dx.doi.org/10.1016/S0265-931X(01)00137-0")</f>
        <v>http://dx.doi.org/10.1016/S0265-931X(01)00137-0</v>
      </c>
      <c r="BG720" t="s">
        <v>74</v>
      </c>
      <c r="BH720" t="s">
        <v>74</v>
      </c>
      <c r="BI720">
        <v>22</v>
      </c>
      <c r="BJ720" t="s">
        <v>1019</v>
      </c>
      <c r="BK720" t="s">
        <v>170</v>
      </c>
      <c r="BL720" t="s">
        <v>1020</v>
      </c>
      <c r="BM720" t="s">
        <v>9925</v>
      </c>
      <c r="BN720">
        <v>14689993</v>
      </c>
      <c r="BO720" t="s">
        <v>74</v>
      </c>
      <c r="BP720" t="s">
        <v>74</v>
      </c>
      <c r="BQ720" t="s">
        <v>74</v>
      </c>
      <c r="BR720" t="s">
        <v>107</v>
      </c>
      <c r="BS720" t="s">
        <v>9926</v>
      </c>
      <c r="BT720" t="str">
        <f>HYPERLINK("https%3A%2F%2Fwww.webofscience.com%2Fwos%2Fwoscc%2Ffull-record%2FWOS:000176926000003","View Full Record in Web of Science")</f>
        <v>View Full Record in Web of Science</v>
      </c>
    </row>
    <row r="721" spans="1:72" x14ac:dyDescent="0.15">
      <c r="A721" t="s">
        <v>72</v>
      </c>
      <c r="B721" t="s">
        <v>9927</v>
      </c>
      <c r="C721" t="s">
        <v>74</v>
      </c>
      <c r="D721" t="s">
        <v>74</v>
      </c>
      <c r="E721" t="s">
        <v>74</v>
      </c>
      <c r="F721" t="s">
        <v>9927</v>
      </c>
      <c r="G721" t="s">
        <v>74</v>
      </c>
      <c r="H721" t="s">
        <v>74</v>
      </c>
      <c r="I721" t="s">
        <v>9928</v>
      </c>
      <c r="J721" t="s">
        <v>9929</v>
      </c>
      <c r="K721" t="s">
        <v>74</v>
      </c>
      <c r="L721" t="s">
        <v>74</v>
      </c>
      <c r="M721" t="s">
        <v>77</v>
      </c>
      <c r="N721" t="s">
        <v>153</v>
      </c>
      <c r="O721" t="s">
        <v>74</v>
      </c>
      <c r="P721" t="s">
        <v>74</v>
      </c>
      <c r="Q721" t="s">
        <v>74</v>
      </c>
      <c r="R721" t="s">
        <v>74</v>
      </c>
      <c r="S721" t="s">
        <v>74</v>
      </c>
      <c r="T721" t="s">
        <v>74</v>
      </c>
      <c r="U721" t="s">
        <v>9930</v>
      </c>
      <c r="V721" t="s">
        <v>9931</v>
      </c>
      <c r="W721" t="s">
        <v>9932</v>
      </c>
      <c r="X721" t="s">
        <v>9933</v>
      </c>
      <c r="Y721" t="s">
        <v>9934</v>
      </c>
      <c r="Z721" t="s">
        <v>74</v>
      </c>
      <c r="AA721" t="s">
        <v>74</v>
      </c>
      <c r="AB721" t="s">
        <v>74</v>
      </c>
      <c r="AC721" t="s">
        <v>74</v>
      </c>
      <c r="AD721" t="s">
        <v>74</v>
      </c>
      <c r="AE721" t="s">
        <v>74</v>
      </c>
      <c r="AF721" t="s">
        <v>74</v>
      </c>
      <c r="AG721">
        <v>41</v>
      </c>
      <c r="AH721">
        <v>20</v>
      </c>
      <c r="AI721">
        <v>26</v>
      </c>
      <c r="AJ721">
        <v>0</v>
      </c>
      <c r="AK721">
        <v>10</v>
      </c>
      <c r="AL721" t="s">
        <v>9935</v>
      </c>
      <c r="AM721" t="s">
        <v>5426</v>
      </c>
      <c r="AN721" t="s">
        <v>7161</v>
      </c>
      <c r="AO721" t="s">
        <v>9936</v>
      </c>
      <c r="AP721" t="s">
        <v>74</v>
      </c>
      <c r="AQ721" t="s">
        <v>74</v>
      </c>
      <c r="AR721" t="s">
        <v>9937</v>
      </c>
      <c r="AS721" t="s">
        <v>9938</v>
      </c>
      <c r="AT721" t="s">
        <v>74</v>
      </c>
      <c r="AU721">
        <v>2002</v>
      </c>
      <c r="AV721">
        <v>48</v>
      </c>
      <c r="AW721">
        <v>160</v>
      </c>
      <c r="AX721" t="s">
        <v>74</v>
      </c>
      <c r="AY721" t="s">
        <v>74</v>
      </c>
      <c r="AZ721" t="s">
        <v>74</v>
      </c>
      <c r="BA721" t="s">
        <v>74</v>
      </c>
      <c r="BB721">
        <v>31</v>
      </c>
      <c r="BC721">
        <v>41</v>
      </c>
      <c r="BD721" t="s">
        <v>74</v>
      </c>
      <c r="BE721" t="s">
        <v>9939</v>
      </c>
      <c r="BF721" t="str">
        <f>HYPERLINK("http://dx.doi.org/10.3189/172756502781831638","http://dx.doi.org/10.3189/172756502781831638")</f>
        <v>http://dx.doi.org/10.3189/172756502781831638</v>
      </c>
      <c r="BG721" t="s">
        <v>74</v>
      </c>
      <c r="BH721" t="s">
        <v>74</v>
      </c>
      <c r="BI721">
        <v>11</v>
      </c>
      <c r="BJ721" t="s">
        <v>1218</v>
      </c>
      <c r="BK721" t="s">
        <v>170</v>
      </c>
      <c r="BL721" t="s">
        <v>224</v>
      </c>
      <c r="BM721" t="s">
        <v>9940</v>
      </c>
      <c r="BN721" t="s">
        <v>74</v>
      </c>
      <c r="BO721" t="s">
        <v>173</v>
      </c>
      <c r="BP721" t="s">
        <v>74</v>
      </c>
      <c r="BQ721" t="s">
        <v>74</v>
      </c>
      <c r="BR721" t="s">
        <v>107</v>
      </c>
      <c r="BS721" t="s">
        <v>9941</v>
      </c>
      <c r="BT721" t="str">
        <f>HYPERLINK("https%3A%2F%2Fwww.webofscience.com%2Fwos%2Fwoscc%2Ffull-record%2FWOS:000177534700004","View Full Record in Web of Science")</f>
        <v>View Full Record in Web of Science</v>
      </c>
    </row>
    <row r="722" spans="1:72" x14ac:dyDescent="0.15">
      <c r="A722" t="s">
        <v>72</v>
      </c>
      <c r="B722" t="s">
        <v>9942</v>
      </c>
      <c r="C722" t="s">
        <v>74</v>
      </c>
      <c r="D722" t="s">
        <v>74</v>
      </c>
      <c r="E722" t="s">
        <v>74</v>
      </c>
      <c r="F722" t="s">
        <v>9942</v>
      </c>
      <c r="G722" t="s">
        <v>74</v>
      </c>
      <c r="H722" t="s">
        <v>74</v>
      </c>
      <c r="I722" t="s">
        <v>9943</v>
      </c>
      <c r="J722" t="s">
        <v>9929</v>
      </c>
      <c r="K722" t="s">
        <v>74</v>
      </c>
      <c r="L722" t="s">
        <v>74</v>
      </c>
      <c r="M722" t="s">
        <v>77</v>
      </c>
      <c r="N722" t="s">
        <v>153</v>
      </c>
      <c r="O722" t="s">
        <v>74</v>
      </c>
      <c r="P722" t="s">
        <v>74</v>
      </c>
      <c r="Q722" t="s">
        <v>74</v>
      </c>
      <c r="R722" t="s">
        <v>74</v>
      </c>
      <c r="S722" t="s">
        <v>74</v>
      </c>
      <c r="T722" t="s">
        <v>74</v>
      </c>
      <c r="U722" t="s">
        <v>9944</v>
      </c>
      <c r="V722" t="s">
        <v>9945</v>
      </c>
      <c r="W722" t="s">
        <v>9946</v>
      </c>
      <c r="X722" t="s">
        <v>9947</v>
      </c>
      <c r="Y722" t="s">
        <v>9948</v>
      </c>
      <c r="Z722" t="s">
        <v>9949</v>
      </c>
      <c r="AA722" t="s">
        <v>9950</v>
      </c>
      <c r="AB722" t="s">
        <v>9951</v>
      </c>
      <c r="AC722" t="s">
        <v>74</v>
      </c>
      <c r="AD722" t="s">
        <v>74</v>
      </c>
      <c r="AE722" t="s">
        <v>74</v>
      </c>
      <c r="AF722" t="s">
        <v>74</v>
      </c>
      <c r="AG722">
        <v>41</v>
      </c>
      <c r="AH722">
        <v>7</v>
      </c>
      <c r="AI722">
        <v>9</v>
      </c>
      <c r="AJ722">
        <v>0</v>
      </c>
      <c r="AK722">
        <v>2</v>
      </c>
      <c r="AL722" t="s">
        <v>753</v>
      </c>
      <c r="AM722" t="s">
        <v>5426</v>
      </c>
      <c r="AN722" t="s">
        <v>9952</v>
      </c>
      <c r="AO722" t="s">
        <v>9936</v>
      </c>
      <c r="AP722" t="s">
        <v>9953</v>
      </c>
      <c r="AQ722" t="s">
        <v>74</v>
      </c>
      <c r="AR722" t="s">
        <v>9937</v>
      </c>
      <c r="AS722" t="s">
        <v>9938</v>
      </c>
      <c r="AT722" t="s">
        <v>74</v>
      </c>
      <c r="AU722">
        <v>2002</v>
      </c>
      <c r="AV722">
        <v>48</v>
      </c>
      <c r="AW722">
        <v>160</v>
      </c>
      <c r="AX722" t="s">
        <v>74</v>
      </c>
      <c r="AY722" t="s">
        <v>74</v>
      </c>
      <c r="AZ722" t="s">
        <v>74</v>
      </c>
      <c r="BA722" t="s">
        <v>74</v>
      </c>
      <c r="BB722">
        <v>87</v>
      </c>
      <c r="BC722">
        <v>94</v>
      </c>
      <c r="BD722" t="s">
        <v>74</v>
      </c>
      <c r="BE722" t="s">
        <v>9954</v>
      </c>
      <c r="BF722" t="str">
        <f>HYPERLINK("http://dx.doi.org/10.3189/172756502781831692","http://dx.doi.org/10.3189/172756502781831692")</f>
        <v>http://dx.doi.org/10.3189/172756502781831692</v>
      </c>
      <c r="BG722" t="s">
        <v>74</v>
      </c>
      <c r="BH722" t="s">
        <v>74</v>
      </c>
      <c r="BI722">
        <v>8</v>
      </c>
      <c r="BJ722" t="s">
        <v>1218</v>
      </c>
      <c r="BK722" t="s">
        <v>170</v>
      </c>
      <c r="BL722" t="s">
        <v>224</v>
      </c>
      <c r="BM722" t="s">
        <v>9940</v>
      </c>
      <c r="BN722" t="s">
        <v>74</v>
      </c>
      <c r="BO722" t="s">
        <v>535</v>
      </c>
      <c r="BP722" t="s">
        <v>74</v>
      </c>
      <c r="BQ722" t="s">
        <v>74</v>
      </c>
      <c r="BR722" t="s">
        <v>107</v>
      </c>
      <c r="BS722" t="s">
        <v>9955</v>
      </c>
      <c r="BT722" t="str">
        <f>HYPERLINK("https%3A%2F%2Fwww.webofscience.com%2Fwos%2Fwoscc%2Ffull-record%2FWOS:000177534700010","View Full Record in Web of Science")</f>
        <v>View Full Record in Web of Science</v>
      </c>
    </row>
    <row r="723" spans="1:72" x14ac:dyDescent="0.15">
      <c r="A723" t="s">
        <v>72</v>
      </c>
      <c r="B723" t="s">
        <v>9956</v>
      </c>
      <c r="C723" t="s">
        <v>74</v>
      </c>
      <c r="D723" t="s">
        <v>74</v>
      </c>
      <c r="E723" t="s">
        <v>74</v>
      </c>
      <c r="F723" t="s">
        <v>9956</v>
      </c>
      <c r="G723" t="s">
        <v>74</v>
      </c>
      <c r="H723" t="s">
        <v>74</v>
      </c>
      <c r="I723" t="s">
        <v>9957</v>
      </c>
      <c r="J723" t="s">
        <v>9929</v>
      </c>
      <c r="K723" t="s">
        <v>74</v>
      </c>
      <c r="L723" t="s">
        <v>74</v>
      </c>
      <c r="M723" t="s">
        <v>77</v>
      </c>
      <c r="N723" t="s">
        <v>561</v>
      </c>
      <c r="O723" t="s">
        <v>74</v>
      </c>
      <c r="P723" t="s">
        <v>74</v>
      </c>
      <c r="Q723" t="s">
        <v>74</v>
      </c>
      <c r="R723" t="s">
        <v>74</v>
      </c>
      <c r="S723" t="s">
        <v>74</v>
      </c>
      <c r="T723" t="s">
        <v>74</v>
      </c>
      <c r="U723" t="s">
        <v>74</v>
      </c>
      <c r="V723" t="s">
        <v>74</v>
      </c>
      <c r="W723" t="s">
        <v>851</v>
      </c>
      <c r="X723" t="s">
        <v>852</v>
      </c>
      <c r="Y723" t="s">
        <v>9958</v>
      </c>
      <c r="Z723" t="s">
        <v>74</v>
      </c>
      <c r="AA723" t="s">
        <v>9959</v>
      </c>
      <c r="AB723" t="s">
        <v>9960</v>
      </c>
      <c r="AC723" t="s">
        <v>74</v>
      </c>
      <c r="AD723" t="s">
        <v>74</v>
      </c>
      <c r="AE723" t="s">
        <v>74</v>
      </c>
      <c r="AF723" t="s">
        <v>74</v>
      </c>
      <c r="AG723">
        <v>1</v>
      </c>
      <c r="AH723">
        <v>2</v>
      </c>
      <c r="AI723">
        <v>2</v>
      </c>
      <c r="AJ723">
        <v>0</v>
      </c>
      <c r="AK723">
        <v>2</v>
      </c>
      <c r="AL723" t="s">
        <v>9935</v>
      </c>
      <c r="AM723" t="s">
        <v>5426</v>
      </c>
      <c r="AN723" t="s">
        <v>7161</v>
      </c>
      <c r="AO723" t="s">
        <v>9936</v>
      </c>
      <c r="AP723" t="s">
        <v>74</v>
      </c>
      <c r="AQ723" t="s">
        <v>74</v>
      </c>
      <c r="AR723" t="s">
        <v>9937</v>
      </c>
      <c r="AS723" t="s">
        <v>9938</v>
      </c>
      <c r="AT723" t="s">
        <v>74</v>
      </c>
      <c r="AU723">
        <v>2002</v>
      </c>
      <c r="AV723">
        <v>48</v>
      </c>
      <c r="AW723">
        <v>160</v>
      </c>
      <c r="AX723" t="s">
        <v>74</v>
      </c>
      <c r="AY723" t="s">
        <v>74</v>
      </c>
      <c r="AZ723" t="s">
        <v>74</v>
      </c>
      <c r="BA723" t="s">
        <v>74</v>
      </c>
      <c r="BB723">
        <v>174</v>
      </c>
      <c r="BC723">
        <v>174</v>
      </c>
      <c r="BD723" t="s">
        <v>74</v>
      </c>
      <c r="BE723" t="s">
        <v>9961</v>
      </c>
      <c r="BF723" t="str">
        <f>HYPERLINK("http://dx.doi.org/10.3189/172756502781831665","http://dx.doi.org/10.3189/172756502781831665")</f>
        <v>http://dx.doi.org/10.3189/172756502781831665</v>
      </c>
      <c r="BG723" t="s">
        <v>74</v>
      </c>
      <c r="BH723" t="s">
        <v>74</v>
      </c>
      <c r="BI723">
        <v>1</v>
      </c>
      <c r="BJ723" t="s">
        <v>1218</v>
      </c>
      <c r="BK723" t="s">
        <v>170</v>
      </c>
      <c r="BL723" t="s">
        <v>224</v>
      </c>
      <c r="BM723" t="s">
        <v>9940</v>
      </c>
      <c r="BN723" t="s">
        <v>74</v>
      </c>
      <c r="BO723" t="s">
        <v>173</v>
      </c>
      <c r="BP723" t="s">
        <v>74</v>
      </c>
      <c r="BQ723" t="s">
        <v>74</v>
      </c>
      <c r="BR723" t="s">
        <v>107</v>
      </c>
      <c r="BS723" t="s">
        <v>9962</v>
      </c>
      <c r="BT723" t="str">
        <f>HYPERLINK("https%3A%2F%2Fwww.webofscience.com%2Fwos%2Fwoscc%2Ffull-record%2FWOS:000177534700019","View Full Record in Web of Science")</f>
        <v>View Full Record in Web of Science</v>
      </c>
    </row>
    <row r="724" spans="1:72" x14ac:dyDescent="0.15">
      <c r="A724" t="s">
        <v>72</v>
      </c>
      <c r="B724" t="s">
        <v>9963</v>
      </c>
      <c r="C724" t="s">
        <v>74</v>
      </c>
      <c r="D724" t="s">
        <v>74</v>
      </c>
      <c r="E724" t="s">
        <v>74</v>
      </c>
      <c r="F724" t="s">
        <v>9963</v>
      </c>
      <c r="G724" t="s">
        <v>74</v>
      </c>
      <c r="H724" t="s">
        <v>74</v>
      </c>
      <c r="I724" t="s">
        <v>9964</v>
      </c>
      <c r="J724" t="s">
        <v>9929</v>
      </c>
      <c r="K724" t="s">
        <v>74</v>
      </c>
      <c r="L724" t="s">
        <v>74</v>
      </c>
      <c r="M724" t="s">
        <v>77</v>
      </c>
      <c r="N724" t="s">
        <v>153</v>
      </c>
      <c r="O724" t="s">
        <v>74</v>
      </c>
      <c r="P724" t="s">
        <v>74</v>
      </c>
      <c r="Q724" t="s">
        <v>74</v>
      </c>
      <c r="R724" t="s">
        <v>74</v>
      </c>
      <c r="S724" t="s">
        <v>74</v>
      </c>
      <c r="T724" t="s">
        <v>74</v>
      </c>
      <c r="U724" t="s">
        <v>9965</v>
      </c>
      <c r="V724" t="s">
        <v>9966</v>
      </c>
      <c r="W724" t="s">
        <v>9967</v>
      </c>
      <c r="X724" t="s">
        <v>9968</v>
      </c>
      <c r="Y724" t="s">
        <v>9969</v>
      </c>
      <c r="Z724" t="s">
        <v>74</v>
      </c>
      <c r="AA724" t="s">
        <v>74</v>
      </c>
      <c r="AB724" t="s">
        <v>9970</v>
      </c>
      <c r="AC724" t="s">
        <v>74</v>
      </c>
      <c r="AD724" t="s">
        <v>74</v>
      </c>
      <c r="AE724" t="s">
        <v>74</v>
      </c>
      <c r="AF724" t="s">
        <v>74</v>
      </c>
      <c r="AG724">
        <v>28</v>
      </c>
      <c r="AH724">
        <v>27</v>
      </c>
      <c r="AI724">
        <v>31</v>
      </c>
      <c r="AJ724">
        <v>1</v>
      </c>
      <c r="AK724">
        <v>6</v>
      </c>
      <c r="AL724" t="s">
        <v>9935</v>
      </c>
      <c r="AM724" t="s">
        <v>5426</v>
      </c>
      <c r="AN724" t="s">
        <v>7161</v>
      </c>
      <c r="AO724" t="s">
        <v>9936</v>
      </c>
      <c r="AP724" t="s">
        <v>74</v>
      </c>
      <c r="AQ724" t="s">
        <v>74</v>
      </c>
      <c r="AR724" t="s">
        <v>9937</v>
      </c>
      <c r="AS724" t="s">
        <v>9938</v>
      </c>
      <c r="AT724" t="s">
        <v>74</v>
      </c>
      <c r="AU724">
        <v>2002</v>
      </c>
      <c r="AV724">
        <v>48</v>
      </c>
      <c r="AW724">
        <v>161</v>
      </c>
      <c r="AX724" t="s">
        <v>74</v>
      </c>
      <c r="AY724" t="s">
        <v>74</v>
      </c>
      <c r="AZ724" t="s">
        <v>74</v>
      </c>
      <c r="BA724" t="s">
        <v>74</v>
      </c>
      <c r="BB724">
        <v>217</v>
      </c>
      <c r="BC724">
        <v>225</v>
      </c>
      <c r="BD724" t="s">
        <v>74</v>
      </c>
      <c r="BE724" t="s">
        <v>9971</v>
      </c>
      <c r="BF724" t="str">
        <f>HYPERLINK("http://dx.doi.org/10.3189/172756502781831421","http://dx.doi.org/10.3189/172756502781831421")</f>
        <v>http://dx.doi.org/10.3189/172756502781831421</v>
      </c>
      <c r="BG724" t="s">
        <v>74</v>
      </c>
      <c r="BH724" t="s">
        <v>74</v>
      </c>
      <c r="BI724">
        <v>9</v>
      </c>
      <c r="BJ724" t="s">
        <v>1218</v>
      </c>
      <c r="BK724" t="s">
        <v>170</v>
      </c>
      <c r="BL724" t="s">
        <v>224</v>
      </c>
      <c r="BM724" t="s">
        <v>9972</v>
      </c>
      <c r="BN724" t="s">
        <v>74</v>
      </c>
      <c r="BO724" t="s">
        <v>173</v>
      </c>
      <c r="BP724" t="s">
        <v>74</v>
      </c>
      <c r="BQ724" t="s">
        <v>74</v>
      </c>
      <c r="BR724" t="s">
        <v>107</v>
      </c>
      <c r="BS724" t="s">
        <v>9973</v>
      </c>
      <c r="BT724" t="str">
        <f>HYPERLINK("https%3A%2F%2Fwww.webofscience.com%2Fwos%2Fwoscc%2Ffull-record%2FWOS:000179941700005","View Full Record in Web of Science")</f>
        <v>View Full Record in Web of Science</v>
      </c>
    </row>
    <row r="725" spans="1:72" x14ac:dyDescent="0.15">
      <c r="A725" t="s">
        <v>72</v>
      </c>
      <c r="B725" t="s">
        <v>9974</v>
      </c>
      <c r="C725" t="s">
        <v>74</v>
      </c>
      <c r="D725" t="s">
        <v>74</v>
      </c>
      <c r="E725" t="s">
        <v>74</v>
      </c>
      <c r="F725" t="s">
        <v>9974</v>
      </c>
      <c r="G725" t="s">
        <v>74</v>
      </c>
      <c r="H725" t="s">
        <v>74</v>
      </c>
      <c r="I725" t="s">
        <v>9975</v>
      </c>
      <c r="J725" t="s">
        <v>9929</v>
      </c>
      <c r="K725" t="s">
        <v>74</v>
      </c>
      <c r="L725" t="s">
        <v>74</v>
      </c>
      <c r="M725" t="s">
        <v>77</v>
      </c>
      <c r="N725" t="s">
        <v>153</v>
      </c>
      <c r="O725" t="s">
        <v>74</v>
      </c>
      <c r="P725" t="s">
        <v>74</v>
      </c>
      <c r="Q725" t="s">
        <v>74</v>
      </c>
      <c r="R725" t="s">
        <v>74</v>
      </c>
      <c r="S725" t="s">
        <v>74</v>
      </c>
      <c r="T725" t="s">
        <v>74</v>
      </c>
      <c r="U725" t="s">
        <v>9976</v>
      </c>
      <c r="V725" t="s">
        <v>9977</v>
      </c>
      <c r="W725" t="s">
        <v>9978</v>
      </c>
      <c r="X725" t="s">
        <v>9979</v>
      </c>
      <c r="Y725" t="s">
        <v>9980</v>
      </c>
      <c r="Z725" t="s">
        <v>9981</v>
      </c>
      <c r="AA725" t="s">
        <v>74</v>
      </c>
      <c r="AB725" t="s">
        <v>74</v>
      </c>
      <c r="AC725" t="s">
        <v>74</v>
      </c>
      <c r="AD725" t="s">
        <v>74</v>
      </c>
      <c r="AE725" t="s">
        <v>74</v>
      </c>
      <c r="AF725" t="s">
        <v>74</v>
      </c>
      <c r="AG725">
        <v>50</v>
      </c>
      <c r="AH725">
        <v>9</v>
      </c>
      <c r="AI725">
        <v>9</v>
      </c>
      <c r="AJ725">
        <v>0</v>
      </c>
      <c r="AK725">
        <v>1</v>
      </c>
      <c r="AL725" t="s">
        <v>753</v>
      </c>
      <c r="AM725" t="s">
        <v>5426</v>
      </c>
      <c r="AN725" t="s">
        <v>9952</v>
      </c>
      <c r="AO725" t="s">
        <v>9936</v>
      </c>
      <c r="AP725" t="s">
        <v>9953</v>
      </c>
      <c r="AQ725" t="s">
        <v>74</v>
      </c>
      <c r="AR725" t="s">
        <v>9937</v>
      </c>
      <c r="AS725" t="s">
        <v>9938</v>
      </c>
      <c r="AT725" t="s">
        <v>74</v>
      </c>
      <c r="AU725">
        <v>2002</v>
      </c>
      <c r="AV725">
        <v>48</v>
      </c>
      <c r="AW725">
        <v>161</v>
      </c>
      <c r="AX725" t="s">
        <v>74</v>
      </c>
      <c r="AY725" t="s">
        <v>74</v>
      </c>
      <c r="AZ725" t="s">
        <v>74</v>
      </c>
      <c r="BA725" t="s">
        <v>74</v>
      </c>
      <c r="BB725">
        <v>226</v>
      </c>
      <c r="BC725">
        <v>236</v>
      </c>
      <c r="BD725" t="s">
        <v>74</v>
      </c>
      <c r="BE725" t="s">
        <v>9982</v>
      </c>
      <c r="BF725" t="str">
        <f>HYPERLINK("http://dx.doi.org/10.3189/172756502781831340","http://dx.doi.org/10.3189/172756502781831340")</f>
        <v>http://dx.doi.org/10.3189/172756502781831340</v>
      </c>
      <c r="BG725" t="s">
        <v>74</v>
      </c>
      <c r="BH725" t="s">
        <v>74</v>
      </c>
      <c r="BI725">
        <v>11</v>
      </c>
      <c r="BJ725" t="s">
        <v>1218</v>
      </c>
      <c r="BK725" t="s">
        <v>170</v>
      </c>
      <c r="BL725" t="s">
        <v>224</v>
      </c>
      <c r="BM725" t="s">
        <v>9972</v>
      </c>
      <c r="BN725" t="s">
        <v>74</v>
      </c>
      <c r="BO725" t="s">
        <v>173</v>
      </c>
      <c r="BP725" t="s">
        <v>74</v>
      </c>
      <c r="BQ725" t="s">
        <v>74</v>
      </c>
      <c r="BR725" t="s">
        <v>107</v>
      </c>
      <c r="BS725" t="s">
        <v>9983</v>
      </c>
      <c r="BT725" t="str">
        <f>HYPERLINK("https%3A%2F%2Fwww.webofscience.com%2Fwos%2Fwoscc%2Ffull-record%2FWOS:000179941700006","View Full Record in Web of Science")</f>
        <v>View Full Record in Web of Science</v>
      </c>
    </row>
    <row r="726" spans="1:72" x14ac:dyDescent="0.15">
      <c r="A726" t="s">
        <v>72</v>
      </c>
      <c r="B726" t="s">
        <v>9984</v>
      </c>
      <c r="C726" t="s">
        <v>74</v>
      </c>
      <c r="D726" t="s">
        <v>74</v>
      </c>
      <c r="E726" t="s">
        <v>74</v>
      </c>
      <c r="F726" t="s">
        <v>9984</v>
      </c>
      <c r="G726" t="s">
        <v>74</v>
      </c>
      <c r="H726" t="s">
        <v>74</v>
      </c>
      <c r="I726" t="s">
        <v>9985</v>
      </c>
      <c r="J726" t="s">
        <v>9929</v>
      </c>
      <c r="K726" t="s">
        <v>74</v>
      </c>
      <c r="L726" t="s">
        <v>74</v>
      </c>
      <c r="M726" t="s">
        <v>77</v>
      </c>
      <c r="N726" t="s">
        <v>153</v>
      </c>
      <c r="O726" t="s">
        <v>74</v>
      </c>
      <c r="P726" t="s">
        <v>74</v>
      </c>
      <c r="Q726" t="s">
        <v>74</v>
      </c>
      <c r="R726" t="s">
        <v>74</v>
      </c>
      <c r="S726" t="s">
        <v>74</v>
      </c>
      <c r="T726" t="s">
        <v>74</v>
      </c>
      <c r="U726" t="s">
        <v>9986</v>
      </c>
      <c r="V726" t="s">
        <v>9987</v>
      </c>
      <c r="W726" t="s">
        <v>9988</v>
      </c>
      <c r="X726" t="s">
        <v>74</v>
      </c>
      <c r="Y726" t="s">
        <v>9989</v>
      </c>
      <c r="Z726" t="s">
        <v>74</v>
      </c>
      <c r="AA726" t="s">
        <v>74</v>
      </c>
      <c r="AB726" t="s">
        <v>74</v>
      </c>
      <c r="AC726" t="s">
        <v>74</v>
      </c>
      <c r="AD726" t="s">
        <v>74</v>
      </c>
      <c r="AE726" t="s">
        <v>74</v>
      </c>
      <c r="AF726" t="s">
        <v>74</v>
      </c>
      <c r="AG726">
        <v>18</v>
      </c>
      <c r="AH726">
        <v>18</v>
      </c>
      <c r="AI726">
        <v>18</v>
      </c>
      <c r="AJ726">
        <v>0</v>
      </c>
      <c r="AK726">
        <v>4</v>
      </c>
      <c r="AL726" t="s">
        <v>9935</v>
      </c>
      <c r="AM726" t="s">
        <v>5426</v>
      </c>
      <c r="AN726" t="s">
        <v>7161</v>
      </c>
      <c r="AO726" t="s">
        <v>9936</v>
      </c>
      <c r="AP726" t="s">
        <v>74</v>
      </c>
      <c r="AQ726" t="s">
        <v>74</v>
      </c>
      <c r="AR726" t="s">
        <v>9937</v>
      </c>
      <c r="AS726" t="s">
        <v>9938</v>
      </c>
      <c r="AT726" t="s">
        <v>74</v>
      </c>
      <c r="AU726">
        <v>2002</v>
      </c>
      <c r="AV726">
        <v>48</v>
      </c>
      <c r="AW726">
        <v>162</v>
      </c>
      <c r="AX726" t="s">
        <v>74</v>
      </c>
      <c r="AY726" t="s">
        <v>74</v>
      </c>
      <c r="AZ726" t="s">
        <v>74</v>
      </c>
      <c r="BA726" t="s">
        <v>74</v>
      </c>
      <c r="BB726">
        <v>345</v>
      </c>
      <c r="BC726">
        <v>356</v>
      </c>
      <c r="BD726" t="s">
        <v>74</v>
      </c>
      <c r="BE726" t="s">
        <v>9990</v>
      </c>
      <c r="BF726" t="str">
        <f>HYPERLINK("http://dx.doi.org/10.3189/172756502781831197","http://dx.doi.org/10.3189/172756502781831197")</f>
        <v>http://dx.doi.org/10.3189/172756502781831197</v>
      </c>
      <c r="BG726" t="s">
        <v>74</v>
      </c>
      <c r="BH726" t="s">
        <v>74</v>
      </c>
      <c r="BI726">
        <v>12</v>
      </c>
      <c r="BJ726" t="s">
        <v>1218</v>
      </c>
      <c r="BK726" t="s">
        <v>170</v>
      </c>
      <c r="BL726" t="s">
        <v>224</v>
      </c>
      <c r="BM726" t="s">
        <v>9991</v>
      </c>
      <c r="BN726" t="s">
        <v>74</v>
      </c>
      <c r="BO726" t="s">
        <v>173</v>
      </c>
      <c r="BP726" t="s">
        <v>74</v>
      </c>
      <c r="BQ726" t="s">
        <v>74</v>
      </c>
      <c r="BR726" t="s">
        <v>107</v>
      </c>
      <c r="BS726" t="s">
        <v>9992</v>
      </c>
      <c r="BT726" t="str">
        <f>HYPERLINK("https%3A%2F%2Fwww.webofscience.com%2Fwos%2Fwoscc%2Ffull-record%2FWOS:000181457600001","View Full Record in Web of Science")</f>
        <v>View Full Record in Web of Science</v>
      </c>
    </row>
    <row r="727" spans="1:72" x14ac:dyDescent="0.15">
      <c r="A727" t="s">
        <v>72</v>
      </c>
      <c r="B727" t="s">
        <v>9993</v>
      </c>
      <c r="C727" t="s">
        <v>74</v>
      </c>
      <c r="D727" t="s">
        <v>74</v>
      </c>
      <c r="E727" t="s">
        <v>74</v>
      </c>
      <c r="F727" t="s">
        <v>9993</v>
      </c>
      <c r="G727" t="s">
        <v>74</v>
      </c>
      <c r="H727" t="s">
        <v>74</v>
      </c>
      <c r="I727" t="s">
        <v>9994</v>
      </c>
      <c r="J727" t="s">
        <v>9929</v>
      </c>
      <c r="K727" t="s">
        <v>74</v>
      </c>
      <c r="L727" t="s">
        <v>74</v>
      </c>
      <c r="M727" t="s">
        <v>77</v>
      </c>
      <c r="N727" t="s">
        <v>153</v>
      </c>
      <c r="O727" t="s">
        <v>74</v>
      </c>
      <c r="P727" t="s">
        <v>74</v>
      </c>
      <c r="Q727" t="s">
        <v>74</v>
      </c>
      <c r="R727" t="s">
        <v>74</v>
      </c>
      <c r="S727" t="s">
        <v>74</v>
      </c>
      <c r="T727" t="s">
        <v>74</v>
      </c>
      <c r="U727" t="s">
        <v>9995</v>
      </c>
      <c r="V727" t="s">
        <v>9996</v>
      </c>
      <c r="W727" t="s">
        <v>9997</v>
      </c>
      <c r="X727" t="s">
        <v>9998</v>
      </c>
      <c r="Y727" t="s">
        <v>9999</v>
      </c>
      <c r="Z727" t="s">
        <v>74</v>
      </c>
      <c r="AA727" t="s">
        <v>10000</v>
      </c>
      <c r="AB727" t="s">
        <v>10001</v>
      </c>
      <c r="AC727" t="s">
        <v>74</v>
      </c>
      <c r="AD727" t="s">
        <v>74</v>
      </c>
      <c r="AE727" t="s">
        <v>74</v>
      </c>
      <c r="AF727" t="s">
        <v>74</v>
      </c>
      <c r="AG727">
        <v>32</v>
      </c>
      <c r="AH727">
        <v>48</v>
      </c>
      <c r="AI727">
        <v>53</v>
      </c>
      <c r="AJ727">
        <v>1</v>
      </c>
      <c r="AK727">
        <v>8</v>
      </c>
      <c r="AL727" t="s">
        <v>9935</v>
      </c>
      <c r="AM727" t="s">
        <v>5426</v>
      </c>
      <c r="AN727" t="s">
        <v>7161</v>
      </c>
      <c r="AO727" t="s">
        <v>9936</v>
      </c>
      <c r="AP727" t="s">
        <v>74</v>
      </c>
      <c r="AQ727" t="s">
        <v>74</v>
      </c>
      <c r="AR727" t="s">
        <v>9937</v>
      </c>
      <c r="AS727" t="s">
        <v>9938</v>
      </c>
      <c r="AT727" t="s">
        <v>74</v>
      </c>
      <c r="AU727">
        <v>2002</v>
      </c>
      <c r="AV727">
        <v>48</v>
      </c>
      <c r="AW727">
        <v>163</v>
      </c>
      <c r="AX727" t="s">
        <v>74</v>
      </c>
      <c r="AY727" t="s">
        <v>74</v>
      </c>
      <c r="AZ727" t="s">
        <v>74</v>
      </c>
      <c r="BA727" t="s">
        <v>74</v>
      </c>
      <c r="BB727">
        <v>527</v>
      </c>
      <c r="BC727">
        <v>535</v>
      </c>
      <c r="BD727" t="s">
        <v>74</v>
      </c>
      <c r="BE727" t="s">
        <v>10002</v>
      </c>
      <c r="BF727" t="str">
        <f>HYPERLINK("http://dx.doi.org/10.3189/172756502781831016","http://dx.doi.org/10.3189/172756502781831016")</f>
        <v>http://dx.doi.org/10.3189/172756502781831016</v>
      </c>
      <c r="BG727" t="s">
        <v>74</v>
      </c>
      <c r="BH727" t="s">
        <v>74</v>
      </c>
      <c r="BI727">
        <v>9</v>
      </c>
      <c r="BJ727" t="s">
        <v>1218</v>
      </c>
      <c r="BK727" t="s">
        <v>170</v>
      </c>
      <c r="BL727" t="s">
        <v>224</v>
      </c>
      <c r="BM727" t="s">
        <v>10003</v>
      </c>
      <c r="BN727" t="s">
        <v>74</v>
      </c>
      <c r="BO727" t="s">
        <v>535</v>
      </c>
      <c r="BP727" t="s">
        <v>74</v>
      </c>
      <c r="BQ727" t="s">
        <v>74</v>
      </c>
      <c r="BR727" t="s">
        <v>107</v>
      </c>
      <c r="BS727" t="s">
        <v>10004</v>
      </c>
      <c r="BT727" t="str">
        <f>HYPERLINK("https%3A%2F%2Fwww.webofscience.com%2Fwos%2Fwoscc%2Ffull-record%2FWOS:000183638100005","View Full Record in Web of Science")</f>
        <v>View Full Record in Web of Science</v>
      </c>
    </row>
    <row r="728" spans="1:72" x14ac:dyDescent="0.15">
      <c r="A728" t="s">
        <v>72</v>
      </c>
      <c r="B728" t="s">
        <v>10005</v>
      </c>
      <c r="C728" t="s">
        <v>74</v>
      </c>
      <c r="D728" t="s">
        <v>74</v>
      </c>
      <c r="E728" t="s">
        <v>74</v>
      </c>
      <c r="F728" t="s">
        <v>10005</v>
      </c>
      <c r="G728" t="s">
        <v>74</v>
      </c>
      <c r="H728" t="s">
        <v>74</v>
      </c>
      <c r="I728" t="s">
        <v>10006</v>
      </c>
      <c r="J728" t="s">
        <v>9929</v>
      </c>
      <c r="K728" t="s">
        <v>74</v>
      </c>
      <c r="L728" t="s">
        <v>74</v>
      </c>
      <c r="M728" t="s">
        <v>77</v>
      </c>
      <c r="N728" t="s">
        <v>153</v>
      </c>
      <c r="O728" t="s">
        <v>74</v>
      </c>
      <c r="P728" t="s">
        <v>74</v>
      </c>
      <c r="Q728" t="s">
        <v>74</v>
      </c>
      <c r="R728" t="s">
        <v>74</v>
      </c>
      <c r="S728" t="s">
        <v>74</v>
      </c>
      <c r="T728" t="s">
        <v>74</v>
      </c>
      <c r="U728" t="s">
        <v>10007</v>
      </c>
      <c r="V728" t="s">
        <v>10008</v>
      </c>
      <c r="W728" t="s">
        <v>10009</v>
      </c>
      <c r="X728" t="s">
        <v>10010</v>
      </c>
      <c r="Y728" t="s">
        <v>10011</v>
      </c>
      <c r="Z728" t="s">
        <v>10012</v>
      </c>
      <c r="AA728" t="s">
        <v>10013</v>
      </c>
      <c r="AB728" t="s">
        <v>10014</v>
      </c>
      <c r="AC728" t="s">
        <v>74</v>
      </c>
      <c r="AD728" t="s">
        <v>74</v>
      </c>
      <c r="AE728" t="s">
        <v>74</v>
      </c>
      <c r="AF728" t="s">
        <v>74</v>
      </c>
      <c r="AG728">
        <v>28</v>
      </c>
      <c r="AH728">
        <v>31</v>
      </c>
      <c r="AI728">
        <v>36</v>
      </c>
      <c r="AJ728">
        <v>0</v>
      </c>
      <c r="AK728">
        <v>9</v>
      </c>
      <c r="AL728" t="s">
        <v>9935</v>
      </c>
      <c r="AM728" t="s">
        <v>5426</v>
      </c>
      <c r="AN728" t="s">
        <v>7161</v>
      </c>
      <c r="AO728" t="s">
        <v>9936</v>
      </c>
      <c r="AP728" t="s">
        <v>74</v>
      </c>
      <c r="AQ728" t="s">
        <v>74</v>
      </c>
      <c r="AR728" t="s">
        <v>9937</v>
      </c>
      <c r="AS728" t="s">
        <v>9938</v>
      </c>
      <c r="AT728" t="s">
        <v>74</v>
      </c>
      <c r="AU728">
        <v>2002</v>
      </c>
      <c r="AV728">
        <v>48</v>
      </c>
      <c r="AW728">
        <v>163</v>
      </c>
      <c r="AX728" t="s">
        <v>74</v>
      </c>
      <c r="AY728" t="s">
        <v>74</v>
      </c>
      <c r="AZ728" t="s">
        <v>74</v>
      </c>
      <c r="BA728" t="s">
        <v>74</v>
      </c>
      <c r="BB728">
        <v>559</v>
      </c>
      <c r="BC728">
        <v>565</v>
      </c>
      <c r="BD728" t="s">
        <v>74</v>
      </c>
      <c r="BE728" t="s">
        <v>10015</v>
      </c>
      <c r="BF728" t="str">
        <f>HYPERLINK("http://dx.doi.org/10.3189/172756502781831115","http://dx.doi.org/10.3189/172756502781831115")</f>
        <v>http://dx.doi.org/10.3189/172756502781831115</v>
      </c>
      <c r="BG728" t="s">
        <v>74</v>
      </c>
      <c r="BH728" t="s">
        <v>74</v>
      </c>
      <c r="BI728">
        <v>7</v>
      </c>
      <c r="BJ728" t="s">
        <v>1218</v>
      </c>
      <c r="BK728" t="s">
        <v>170</v>
      </c>
      <c r="BL728" t="s">
        <v>224</v>
      </c>
      <c r="BM728" t="s">
        <v>10003</v>
      </c>
      <c r="BN728" t="s">
        <v>74</v>
      </c>
      <c r="BO728" t="s">
        <v>535</v>
      </c>
      <c r="BP728" t="s">
        <v>74</v>
      </c>
      <c r="BQ728" t="s">
        <v>74</v>
      </c>
      <c r="BR728" t="s">
        <v>107</v>
      </c>
      <c r="BS728" t="s">
        <v>10016</v>
      </c>
      <c r="BT728" t="str">
        <f>HYPERLINK("https%3A%2F%2Fwww.webofscience.com%2Fwos%2Fwoscc%2Ffull-record%2FWOS:000183638100009","View Full Record in Web of Science")</f>
        <v>View Full Record in Web of Science</v>
      </c>
    </row>
    <row r="729" spans="1:72" x14ac:dyDescent="0.15">
      <c r="A729" t="s">
        <v>72</v>
      </c>
      <c r="B729" t="s">
        <v>10017</v>
      </c>
      <c r="C729" t="s">
        <v>74</v>
      </c>
      <c r="D729" t="s">
        <v>74</v>
      </c>
      <c r="E729" t="s">
        <v>74</v>
      </c>
      <c r="F729" t="s">
        <v>10017</v>
      </c>
      <c r="G729" t="s">
        <v>74</v>
      </c>
      <c r="H729" t="s">
        <v>74</v>
      </c>
      <c r="I729" t="s">
        <v>10018</v>
      </c>
      <c r="J729" t="s">
        <v>9929</v>
      </c>
      <c r="K729" t="s">
        <v>74</v>
      </c>
      <c r="L729" t="s">
        <v>74</v>
      </c>
      <c r="M729" t="s">
        <v>77</v>
      </c>
      <c r="N729" t="s">
        <v>153</v>
      </c>
      <c r="O729" t="s">
        <v>74</v>
      </c>
      <c r="P729" t="s">
        <v>74</v>
      </c>
      <c r="Q729" t="s">
        <v>74</v>
      </c>
      <c r="R729" t="s">
        <v>74</v>
      </c>
      <c r="S729" t="s">
        <v>74</v>
      </c>
      <c r="T729" t="s">
        <v>74</v>
      </c>
      <c r="U729" t="s">
        <v>10019</v>
      </c>
      <c r="V729" t="s">
        <v>10020</v>
      </c>
      <c r="W729" t="s">
        <v>10021</v>
      </c>
      <c r="X729" t="s">
        <v>10022</v>
      </c>
      <c r="Y729" t="s">
        <v>10023</v>
      </c>
      <c r="Z729" t="s">
        <v>74</v>
      </c>
      <c r="AA729" t="s">
        <v>10024</v>
      </c>
      <c r="AB729" t="s">
        <v>10025</v>
      </c>
      <c r="AC729" t="s">
        <v>7253</v>
      </c>
      <c r="AD729" t="s">
        <v>1612</v>
      </c>
      <c r="AE729" t="s">
        <v>74</v>
      </c>
      <c r="AF729" t="s">
        <v>74</v>
      </c>
      <c r="AG729">
        <v>35</v>
      </c>
      <c r="AH729">
        <v>17</v>
      </c>
      <c r="AI729">
        <v>17</v>
      </c>
      <c r="AJ729">
        <v>0</v>
      </c>
      <c r="AK729">
        <v>2</v>
      </c>
      <c r="AL729" t="s">
        <v>9935</v>
      </c>
      <c r="AM729" t="s">
        <v>5426</v>
      </c>
      <c r="AN729" t="s">
        <v>7161</v>
      </c>
      <c r="AO729" t="s">
        <v>9936</v>
      </c>
      <c r="AP729" t="s">
        <v>74</v>
      </c>
      <c r="AQ729" t="s">
        <v>74</v>
      </c>
      <c r="AR729" t="s">
        <v>9937</v>
      </c>
      <c r="AS729" t="s">
        <v>9938</v>
      </c>
      <c r="AT729" t="s">
        <v>74</v>
      </c>
      <c r="AU729">
        <v>2002</v>
      </c>
      <c r="AV729">
        <v>48</v>
      </c>
      <c r="AW729">
        <v>163</v>
      </c>
      <c r="AX729" t="s">
        <v>74</v>
      </c>
      <c r="AY729" t="s">
        <v>74</v>
      </c>
      <c r="AZ729" t="s">
        <v>74</v>
      </c>
      <c r="BA729" t="s">
        <v>74</v>
      </c>
      <c r="BB729">
        <v>566</v>
      </c>
      <c r="BC729">
        <v>574</v>
      </c>
      <c r="BD729" t="s">
        <v>74</v>
      </c>
      <c r="BE729" t="s">
        <v>10026</v>
      </c>
      <c r="BF729" t="str">
        <f>HYPERLINK("http://dx.doi.org/10.3189/172756502781831043","http://dx.doi.org/10.3189/172756502781831043")</f>
        <v>http://dx.doi.org/10.3189/172756502781831043</v>
      </c>
      <c r="BG729" t="s">
        <v>74</v>
      </c>
      <c r="BH729" t="s">
        <v>74</v>
      </c>
      <c r="BI729">
        <v>9</v>
      </c>
      <c r="BJ729" t="s">
        <v>1218</v>
      </c>
      <c r="BK729" t="s">
        <v>170</v>
      </c>
      <c r="BL729" t="s">
        <v>224</v>
      </c>
      <c r="BM729" t="s">
        <v>10003</v>
      </c>
      <c r="BN729" t="s">
        <v>74</v>
      </c>
      <c r="BO729" t="s">
        <v>173</v>
      </c>
      <c r="BP729" t="s">
        <v>74</v>
      </c>
      <c r="BQ729" t="s">
        <v>74</v>
      </c>
      <c r="BR729" t="s">
        <v>107</v>
      </c>
      <c r="BS729" t="s">
        <v>10027</v>
      </c>
      <c r="BT729" t="str">
        <f>HYPERLINK("https%3A%2F%2Fwww.webofscience.com%2Fwos%2Fwoscc%2Ffull-record%2FWOS:000183638100010","View Full Record in Web of Science")</f>
        <v>View Full Record in Web of Science</v>
      </c>
    </row>
    <row r="730" spans="1:72" x14ac:dyDescent="0.15">
      <c r="A730" t="s">
        <v>72</v>
      </c>
      <c r="B730" t="s">
        <v>10028</v>
      </c>
      <c r="C730" t="s">
        <v>74</v>
      </c>
      <c r="D730" t="s">
        <v>74</v>
      </c>
      <c r="E730" t="s">
        <v>74</v>
      </c>
      <c r="F730" t="s">
        <v>10028</v>
      </c>
      <c r="G730" t="s">
        <v>74</v>
      </c>
      <c r="H730" t="s">
        <v>74</v>
      </c>
      <c r="I730" t="s">
        <v>10029</v>
      </c>
      <c r="J730" t="s">
        <v>9929</v>
      </c>
      <c r="K730" t="s">
        <v>74</v>
      </c>
      <c r="L730" t="s">
        <v>74</v>
      </c>
      <c r="M730" t="s">
        <v>77</v>
      </c>
      <c r="N730" t="s">
        <v>153</v>
      </c>
      <c r="O730" t="s">
        <v>74</v>
      </c>
      <c r="P730" t="s">
        <v>74</v>
      </c>
      <c r="Q730" t="s">
        <v>74</v>
      </c>
      <c r="R730" t="s">
        <v>74</v>
      </c>
      <c r="S730" t="s">
        <v>74</v>
      </c>
      <c r="T730" t="s">
        <v>74</v>
      </c>
      <c r="U730" t="s">
        <v>10030</v>
      </c>
      <c r="V730" t="s">
        <v>10031</v>
      </c>
      <c r="W730" t="s">
        <v>10032</v>
      </c>
      <c r="X730" t="s">
        <v>10033</v>
      </c>
      <c r="Y730" t="s">
        <v>10034</v>
      </c>
      <c r="Z730" t="s">
        <v>74</v>
      </c>
      <c r="AA730" t="s">
        <v>10035</v>
      </c>
      <c r="AB730" t="s">
        <v>10036</v>
      </c>
      <c r="AC730" t="s">
        <v>74</v>
      </c>
      <c r="AD730" t="s">
        <v>74</v>
      </c>
      <c r="AE730" t="s">
        <v>74</v>
      </c>
      <c r="AF730" t="s">
        <v>74</v>
      </c>
      <c r="AG730">
        <v>39</v>
      </c>
      <c r="AH730">
        <v>30</v>
      </c>
      <c r="AI730">
        <v>30</v>
      </c>
      <c r="AJ730">
        <v>0</v>
      </c>
      <c r="AK730">
        <v>2</v>
      </c>
      <c r="AL730" t="s">
        <v>9935</v>
      </c>
      <c r="AM730" t="s">
        <v>5426</v>
      </c>
      <c r="AN730" t="s">
        <v>7161</v>
      </c>
      <c r="AO730" t="s">
        <v>9936</v>
      </c>
      <c r="AP730" t="s">
        <v>74</v>
      </c>
      <c r="AQ730" t="s">
        <v>74</v>
      </c>
      <c r="AR730" t="s">
        <v>9937</v>
      </c>
      <c r="AS730" t="s">
        <v>9938</v>
      </c>
      <c r="AT730" t="s">
        <v>74</v>
      </c>
      <c r="AU730">
        <v>2002</v>
      </c>
      <c r="AV730">
        <v>48</v>
      </c>
      <c r="AW730">
        <v>163</v>
      </c>
      <c r="AX730" t="s">
        <v>74</v>
      </c>
      <c r="AY730" t="s">
        <v>74</v>
      </c>
      <c r="AZ730" t="s">
        <v>74</v>
      </c>
      <c r="BA730" t="s">
        <v>74</v>
      </c>
      <c r="BB730">
        <v>611</v>
      </c>
      <c r="BC730">
        <v>621</v>
      </c>
      <c r="BD730" t="s">
        <v>74</v>
      </c>
      <c r="BE730" t="s">
        <v>10037</v>
      </c>
      <c r="BF730" t="str">
        <f>HYPERLINK("http://dx.doi.org/10.3189/172756502781831106","http://dx.doi.org/10.3189/172756502781831106")</f>
        <v>http://dx.doi.org/10.3189/172756502781831106</v>
      </c>
      <c r="BG730" t="s">
        <v>74</v>
      </c>
      <c r="BH730" t="s">
        <v>74</v>
      </c>
      <c r="BI730">
        <v>11</v>
      </c>
      <c r="BJ730" t="s">
        <v>1218</v>
      </c>
      <c r="BK730" t="s">
        <v>170</v>
      </c>
      <c r="BL730" t="s">
        <v>224</v>
      </c>
      <c r="BM730" t="s">
        <v>10003</v>
      </c>
      <c r="BN730" t="s">
        <v>74</v>
      </c>
      <c r="BO730" t="s">
        <v>173</v>
      </c>
      <c r="BP730" t="s">
        <v>74</v>
      </c>
      <c r="BQ730" t="s">
        <v>74</v>
      </c>
      <c r="BR730" t="s">
        <v>107</v>
      </c>
      <c r="BS730" t="s">
        <v>10038</v>
      </c>
      <c r="BT730" t="str">
        <f>HYPERLINK("https%3A%2F%2Fwww.webofscience.com%2Fwos%2Fwoscc%2Ffull-record%2FWOS:000183638100015","View Full Record in Web of Science")</f>
        <v>View Full Record in Web of Science</v>
      </c>
    </row>
    <row r="731" spans="1:72" x14ac:dyDescent="0.15">
      <c r="A731" t="s">
        <v>72</v>
      </c>
      <c r="B731" t="s">
        <v>10039</v>
      </c>
      <c r="C731" t="s">
        <v>74</v>
      </c>
      <c r="D731" t="s">
        <v>74</v>
      </c>
      <c r="E731" t="s">
        <v>74</v>
      </c>
      <c r="F731" t="s">
        <v>10039</v>
      </c>
      <c r="G731" t="s">
        <v>74</v>
      </c>
      <c r="H731" t="s">
        <v>74</v>
      </c>
      <c r="I731" t="s">
        <v>10040</v>
      </c>
      <c r="J731" t="s">
        <v>9929</v>
      </c>
      <c r="K731" t="s">
        <v>74</v>
      </c>
      <c r="L731" t="s">
        <v>74</v>
      </c>
      <c r="M731" t="s">
        <v>77</v>
      </c>
      <c r="N731" t="s">
        <v>153</v>
      </c>
      <c r="O731" t="s">
        <v>74</v>
      </c>
      <c r="P731" t="s">
        <v>74</v>
      </c>
      <c r="Q731" t="s">
        <v>74</v>
      </c>
      <c r="R731" t="s">
        <v>74</v>
      </c>
      <c r="S731" t="s">
        <v>74</v>
      </c>
      <c r="T731" t="s">
        <v>74</v>
      </c>
      <c r="U731" t="s">
        <v>74</v>
      </c>
      <c r="V731" t="s">
        <v>10041</v>
      </c>
      <c r="W731" t="s">
        <v>10042</v>
      </c>
      <c r="X731" t="s">
        <v>10043</v>
      </c>
      <c r="Y731" t="s">
        <v>7272</v>
      </c>
      <c r="Z731" t="s">
        <v>10044</v>
      </c>
      <c r="AA731" t="s">
        <v>10045</v>
      </c>
      <c r="AB731" t="s">
        <v>74</v>
      </c>
      <c r="AC731" t="s">
        <v>74</v>
      </c>
      <c r="AD731" t="s">
        <v>74</v>
      </c>
      <c r="AE731" t="s">
        <v>74</v>
      </c>
      <c r="AF731" t="s">
        <v>74</v>
      </c>
      <c r="AG731">
        <v>15</v>
      </c>
      <c r="AH731">
        <v>40</v>
      </c>
      <c r="AI731">
        <v>42</v>
      </c>
      <c r="AJ731">
        <v>0</v>
      </c>
      <c r="AK731">
        <v>7</v>
      </c>
      <c r="AL731" t="s">
        <v>753</v>
      </c>
      <c r="AM731" t="s">
        <v>5426</v>
      </c>
      <c r="AN731" t="s">
        <v>9952</v>
      </c>
      <c r="AO731" t="s">
        <v>9936</v>
      </c>
      <c r="AP731" t="s">
        <v>9953</v>
      </c>
      <c r="AQ731" t="s">
        <v>74</v>
      </c>
      <c r="AR731" t="s">
        <v>9937</v>
      </c>
      <c r="AS731" t="s">
        <v>9938</v>
      </c>
      <c r="AT731" t="s">
        <v>74</v>
      </c>
      <c r="AU731">
        <v>2002</v>
      </c>
      <c r="AV731">
        <v>48</v>
      </c>
      <c r="AW731">
        <v>163</v>
      </c>
      <c r="AX731" t="s">
        <v>74</v>
      </c>
      <c r="AY731" t="s">
        <v>74</v>
      </c>
      <c r="AZ731" t="s">
        <v>74</v>
      </c>
      <c r="BA731" t="s">
        <v>74</v>
      </c>
      <c r="BB731">
        <v>622</v>
      </c>
      <c r="BC731">
        <v>628</v>
      </c>
      <c r="BD731" t="s">
        <v>74</v>
      </c>
      <c r="BE731" t="s">
        <v>10046</v>
      </c>
      <c r="BF731" t="str">
        <f>HYPERLINK("http://dx.doi.org/10.3189/172756502781831124","http://dx.doi.org/10.3189/172756502781831124")</f>
        <v>http://dx.doi.org/10.3189/172756502781831124</v>
      </c>
      <c r="BG731" t="s">
        <v>74</v>
      </c>
      <c r="BH731" t="s">
        <v>74</v>
      </c>
      <c r="BI731">
        <v>7</v>
      </c>
      <c r="BJ731" t="s">
        <v>1218</v>
      </c>
      <c r="BK731" t="s">
        <v>170</v>
      </c>
      <c r="BL731" t="s">
        <v>224</v>
      </c>
      <c r="BM731" t="s">
        <v>10003</v>
      </c>
      <c r="BN731" t="s">
        <v>74</v>
      </c>
      <c r="BO731" t="s">
        <v>1682</v>
      </c>
      <c r="BP731" t="s">
        <v>74</v>
      </c>
      <c r="BQ731" t="s">
        <v>74</v>
      </c>
      <c r="BR731" t="s">
        <v>107</v>
      </c>
      <c r="BS731" t="s">
        <v>10047</v>
      </c>
      <c r="BT731" t="str">
        <f>HYPERLINK("https%3A%2F%2Fwww.webofscience.com%2Fwos%2Fwoscc%2Ffull-record%2FWOS:000183638100016","View Full Record in Web of Science")</f>
        <v>View Full Record in Web of Science</v>
      </c>
    </row>
    <row r="732" spans="1:72" x14ac:dyDescent="0.15">
      <c r="A732" t="s">
        <v>72</v>
      </c>
      <c r="B732" t="s">
        <v>10048</v>
      </c>
      <c r="C732" t="s">
        <v>74</v>
      </c>
      <c r="D732" t="s">
        <v>74</v>
      </c>
      <c r="E732" t="s">
        <v>74</v>
      </c>
      <c r="F732" t="s">
        <v>10048</v>
      </c>
      <c r="G732" t="s">
        <v>74</v>
      </c>
      <c r="H732" t="s">
        <v>74</v>
      </c>
      <c r="I732" t="s">
        <v>10049</v>
      </c>
      <c r="J732" t="s">
        <v>5448</v>
      </c>
      <c r="K732" t="s">
        <v>74</v>
      </c>
      <c r="L732" t="s">
        <v>74</v>
      </c>
      <c r="M732" t="s">
        <v>77</v>
      </c>
      <c r="N732" t="s">
        <v>153</v>
      </c>
      <c r="O732" t="s">
        <v>74</v>
      </c>
      <c r="P732" t="s">
        <v>74</v>
      </c>
      <c r="Q732" t="s">
        <v>74</v>
      </c>
      <c r="R732" t="s">
        <v>74</v>
      </c>
      <c r="S732" t="s">
        <v>74</v>
      </c>
      <c r="T732" t="s">
        <v>74</v>
      </c>
      <c r="U732" t="s">
        <v>10050</v>
      </c>
      <c r="V732" t="s">
        <v>10051</v>
      </c>
      <c r="W732" t="s">
        <v>74</v>
      </c>
      <c r="X732" t="s">
        <v>74</v>
      </c>
      <c r="Y732" t="s">
        <v>74</v>
      </c>
      <c r="Z732" t="s">
        <v>10052</v>
      </c>
      <c r="AA732" t="s">
        <v>10053</v>
      </c>
      <c r="AB732" t="s">
        <v>10054</v>
      </c>
      <c r="AC732" t="s">
        <v>74</v>
      </c>
      <c r="AD732" t="s">
        <v>74</v>
      </c>
      <c r="AE732" t="s">
        <v>74</v>
      </c>
      <c r="AF732" t="s">
        <v>74</v>
      </c>
      <c r="AG732">
        <v>27</v>
      </c>
      <c r="AH732">
        <v>10</v>
      </c>
      <c r="AI732">
        <v>13</v>
      </c>
      <c r="AJ732">
        <v>0</v>
      </c>
      <c r="AK732">
        <v>6</v>
      </c>
      <c r="AL732" t="s">
        <v>5457</v>
      </c>
      <c r="AM732" t="s">
        <v>5458</v>
      </c>
      <c r="AN732" t="s">
        <v>5459</v>
      </c>
      <c r="AO732" t="s">
        <v>5460</v>
      </c>
      <c r="AP732" t="s">
        <v>5461</v>
      </c>
      <c r="AQ732" t="s">
        <v>74</v>
      </c>
      <c r="AR732" t="s">
        <v>5462</v>
      </c>
      <c r="AS732" t="s">
        <v>5463</v>
      </c>
      <c r="AT732" t="s">
        <v>7127</v>
      </c>
      <c r="AU732">
        <v>2002</v>
      </c>
      <c r="AV732">
        <v>60</v>
      </c>
      <c r="AW732">
        <v>1</v>
      </c>
      <c r="AX732" t="s">
        <v>74</v>
      </c>
      <c r="AY732" t="s">
        <v>74</v>
      </c>
      <c r="AZ732" t="s">
        <v>74</v>
      </c>
      <c r="BA732" t="s">
        <v>74</v>
      </c>
      <c r="BB732">
        <v>1</v>
      </c>
      <c r="BC732">
        <v>17</v>
      </c>
      <c r="BD732" t="s">
        <v>74</v>
      </c>
      <c r="BE732" t="s">
        <v>10055</v>
      </c>
      <c r="BF732" t="str">
        <f>HYPERLINK("http://dx.doi.org/10.1357/002224002762341221","http://dx.doi.org/10.1357/002224002762341221")</f>
        <v>http://dx.doi.org/10.1357/002224002762341221</v>
      </c>
      <c r="BG732" t="s">
        <v>74</v>
      </c>
      <c r="BH732" t="s">
        <v>74</v>
      </c>
      <c r="BI732">
        <v>17</v>
      </c>
      <c r="BJ732" t="s">
        <v>1155</v>
      </c>
      <c r="BK732" t="s">
        <v>170</v>
      </c>
      <c r="BL732" t="s">
        <v>1155</v>
      </c>
      <c r="BM732" t="s">
        <v>10056</v>
      </c>
      <c r="BN732" t="s">
        <v>74</v>
      </c>
      <c r="BO732" t="s">
        <v>74</v>
      </c>
      <c r="BP732" t="s">
        <v>74</v>
      </c>
      <c r="BQ732" t="s">
        <v>74</v>
      </c>
      <c r="BR732" t="s">
        <v>107</v>
      </c>
      <c r="BS732" t="s">
        <v>10057</v>
      </c>
      <c r="BT732" t="str">
        <f>HYPERLINK("https%3A%2F%2Fwww.webofscience.com%2Fwos%2Fwoscc%2Ffull-record%2FWOS:000173964700001","View Full Record in Web of Science")</f>
        <v>View Full Record in Web of Science</v>
      </c>
    </row>
    <row r="733" spans="1:72" x14ac:dyDescent="0.15">
      <c r="A733" t="s">
        <v>72</v>
      </c>
      <c r="B733" t="s">
        <v>10058</v>
      </c>
      <c r="C733" t="s">
        <v>74</v>
      </c>
      <c r="D733" t="s">
        <v>74</v>
      </c>
      <c r="E733" t="s">
        <v>74</v>
      </c>
      <c r="F733" t="s">
        <v>10058</v>
      </c>
      <c r="G733" t="s">
        <v>74</v>
      </c>
      <c r="H733" t="s">
        <v>74</v>
      </c>
      <c r="I733" t="s">
        <v>10059</v>
      </c>
      <c r="J733" t="s">
        <v>5448</v>
      </c>
      <c r="K733" t="s">
        <v>74</v>
      </c>
      <c r="L733" t="s">
        <v>74</v>
      </c>
      <c r="M733" t="s">
        <v>77</v>
      </c>
      <c r="N733" t="s">
        <v>153</v>
      </c>
      <c r="O733" t="s">
        <v>74</v>
      </c>
      <c r="P733" t="s">
        <v>74</v>
      </c>
      <c r="Q733" t="s">
        <v>74</v>
      </c>
      <c r="R733" t="s">
        <v>74</v>
      </c>
      <c r="S733" t="s">
        <v>74</v>
      </c>
      <c r="T733" t="s">
        <v>74</v>
      </c>
      <c r="U733" t="s">
        <v>10060</v>
      </c>
      <c r="V733" t="s">
        <v>10061</v>
      </c>
      <c r="W733" t="s">
        <v>5222</v>
      </c>
      <c r="X733" t="s">
        <v>5235</v>
      </c>
      <c r="Y733" t="s">
        <v>10062</v>
      </c>
      <c r="Z733" t="s">
        <v>10063</v>
      </c>
      <c r="AA733" t="s">
        <v>10064</v>
      </c>
      <c r="AB733" t="s">
        <v>10065</v>
      </c>
      <c r="AC733" t="s">
        <v>74</v>
      </c>
      <c r="AD733" t="s">
        <v>74</v>
      </c>
      <c r="AE733" t="s">
        <v>74</v>
      </c>
      <c r="AF733" t="s">
        <v>74</v>
      </c>
      <c r="AG733">
        <v>25</v>
      </c>
      <c r="AH733">
        <v>48</v>
      </c>
      <c r="AI733">
        <v>52</v>
      </c>
      <c r="AJ733">
        <v>0</v>
      </c>
      <c r="AK733">
        <v>9</v>
      </c>
      <c r="AL733" t="s">
        <v>5457</v>
      </c>
      <c r="AM733" t="s">
        <v>5458</v>
      </c>
      <c r="AN733" t="s">
        <v>5459</v>
      </c>
      <c r="AO733" t="s">
        <v>5460</v>
      </c>
      <c r="AP733" t="s">
        <v>5461</v>
      </c>
      <c r="AQ733" t="s">
        <v>74</v>
      </c>
      <c r="AR733" t="s">
        <v>5462</v>
      </c>
      <c r="AS733" t="s">
        <v>5463</v>
      </c>
      <c r="AT733" t="s">
        <v>7127</v>
      </c>
      <c r="AU733">
        <v>2002</v>
      </c>
      <c r="AV733">
        <v>60</v>
      </c>
      <c r="AW733">
        <v>1</v>
      </c>
      <c r="AX733" t="s">
        <v>74</v>
      </c>
      <c r="AY733" t="s">
        <v>74</v>
      </c>
      <c r="AZ733" t="s">
        <v>74</v>
      </c>
      <c r="BA733" t="s">
        <v>74</v>
      </c>
      <c r="BB733">
        <v>19</v>
      </c>
      <c r="BC733">
        <v>45</v>
      </c>
      <c r="BD733" t="s">
        <v>74</v>
      </c>
      <c r="BE733" t="s">
        <v>10066</v>
      </c>
      <c r="BF733" t="str">
        <f>HYPERLINK("http://dx.doi.org/10.1357/002224002762341230","http://dx.doi.org/10.1357/002224002762341230")</f>
        <v>http://dx.doi.org/10.1357/002224002762341230</v>
      </c>
      <c r="BG733" t="s">
        <v>74</v>
      </c>
      <c r="BH733" t="s">
        <v>74</v>
      </c>
      <c r="BI733">
        <v>27</v>
      </c>
      <c r="BJ733" t="s">
        <v>1155</v>
      </c>
      <c r="BK733" t="s">
        <v>170</v>
      </c>
      <c r="BL733" t="s">
        <v>1155</v>
      </c>
      <c r="BM733" t="s">
        <v>10056</v>
      </c>
      <c r="BN733" t="s">
        <v>74</v>
      </c>
      <c r="BO733" t="s">
        <v>74</v>
      </c>
      <c r="BP733" t="s">
        <v>74</v>
      </c>
      <c r="BQ733" t="s">
        <v>74</v>
      </c>
      <c r="BR733" t="s">
        <v>107</v>
      </c>
      <c r="BS733" t="s">
        <v>10067</v>
      </c>
      <c r="BT733" t="str">
        <f>HYPERLINK("https%3A%2F%2Fwww.webofscience.com%2Fwos%2Fwoscc%2Ffull-record%2FWOS:000173964700002","View Full Record in Web of Science")</f>
        <v>View Full Record in Web of Science</v>
      </c>
    </row>
    <row r="734" spans="1:72" x14ac:dyDescent="0.15">
      <c r="A734" t="s">
        <v>72</v>
      </c>
      <c r="B734" t="s">
        <v>10068</v>
      </c>
      <c r="C734" t="s">
        <v>74</v>
      </c>
      <c r="D734" t="s">
        <v>74</v>
      </c>
      <c r="E734" t="s">
        <v>74</v>
      </c>
      <c r="F734" t="s">
        <v>10068</v>
      </c>
      <c r="G734" t="s">
        <v>74</v>
      </c>
      <c r="H734" t="s">
        <v>74</v>
      </c>
      <c r="I734" t="s">
        <v>10069</v>
      </c>
      <c r="J734" t="s">
        <v>1584</v>
      </c>
      <c r="K734" t="s">
        <v>74</v>
      </c>
      <c r="L734" t="s">
        <v>74</v>
      </c>
      <c r="M734" t="s">
        <v>77</v>
      </c>
      <c r="N734" t="s">
        <v>153</v>
      </c>
      <c r="O734" t="s">
        <v>74</v>
      </c>
      <c r="P734" t="s">
        <v>74</v>
      </c>
      <c r="Q734" t="s">
        <v>74</v>
      </c>
      <c r="R734" t="s">
        <v>74</v>
      </c>
      <c r="S734" t="s">
        <v>74</v>
      </c>
      <c r="T734" t="s">
        <v>10070</v>
      </c>
      <c r="U734" t="s">
        <v>74</v>
      </c>
      <c r="V734" t="s">
        <v>10071</v>
      </c>
      <c r="W734" t="s">
        <v>10072</v>
      </c>
      <c r="X734" t="s">
        <v>10073</v>
      </c>
      <c r="Y734" t="s">
        <v>10074</v>
      </c>
      <c r="Z734" t="s">
        <v>74</v>
      </c>
      <c r="AA734" t="s">
        <v>74</v>
      </c>
      <c r="AB734" t="s">
        <v>10075</v>
      </c>
      <c r="AC734" t="s">
        <v>74</v>
      </c>
      <c r="AD734" t="s">
        <v>74</v>
      </c>
      <c r="AE734" t="s">
        <v>74</v>
      </c>
      <c r="AF734" t="s">
        <v>74</v>
      </c>
      <c r="AG734">
        <v>12</v>
      </c>
      <c r="AH734">
        <v>26</v>
      </c>
      <c r="AI734">
        <v>28</v>
      </c>
      <c r="AJ734">
        <v>0</v>
      </c>
      <c r="AK734">
        <v>1</v>
      </c>
      <c r="AL734" t="s">
        <v>453</v>
      </c>
      <c r="AM734" t="s">
        <v>454</v>
      </c>
      <c r="AN734" t="s">
        <v>6465</v>
      </c>
      <c r="AO734" t="s">
        <v>1592</v>
      </c>
      <c r="AP734" t="s">
        <v>74</v>
      </c>
      <c r="AQ734" t="s">
        <v>74</v>
      </c>
      <c r="AR734" t="s">
        <v>1594</v>
      </c>
      <c r="AS734" t="s">
        <v>1595</v>
      </c>
      <c r="AT734" t="s">
        <v>7127</v>
      </c>
      <c r="AU734">
        <v>2002</v>
      </c>
      <c r="AV734">
        <v>36</v>
      </c>
      <c r="AW734">
        <v>2</v>
      </c>
      <c r="AX734" t="s">
        <v>74</v>
      </c>
      <c r="AY734" t="s">
        <v>74</v>
      </c>
      <c r="AZ734" t="s">
        <v>74</v>
      </c>
      <c r="BA734" t="s">
        <v>74</v>
      </c>
      <c r="BB734">
        <v>173</v>
      </c>
      <c r="BC734">
        <v>183</v>
      </c>
      <c r="BD734" t="s">
        <v>74</v>
      </c>
      <c r="BE734" t="s">
        <v>10076</v>
      </c>
      <c r="BF734" t="str">
        <f>HYPERLINK("http://dx.doi.org/10.1080/00222930010002775","http://dx.doi.org/10.1080/00222930010002775")</f>
        <v>http://dx.doi.org/10.1080/00222930010002775</v>
      </c>
      <c r="BG734" t="s">
        <v>74</v>
      </c>
      <c r="BH734" t="s">
        <v>74</v>
      </c>
      <c r="BI734">
        <v>11</v>
      </c>
      <c r="BJ734" t="s">
        <v>1597</v>
      </c>
      <c r="BK734" t="s">
        <v>170</v>
      </c>
      <c r="BL734" t="s">
        <v>1598</v>
      </c>
      <c r="BM734" t="s">
        <v>10077</v>
      </c>
      <c r="BN734" t="s">
        <v>74</v>
      </c>
      <c r="BO734" t="s">
        <v>74</v>
      </c>
      <c r="BP734" t="s">
        <v>74</v>
      </c>
      <c r="BQ734" t="s">
        <v>74</v>
      </c>
      <c r="BR734" t="s">
        <v>107</v>
      </c>
      <c r="BS734" t="s">
        <v>10078</v>
      </c>
      <c r="BT734" t="str">
        <f>HYPERLINK("https%3A%2F%2Fwww.webofscience.com%2Fwos%2Fwoscc%2Ffull-record%2FWOS:000173302900004","View Full Record in Web of Science")</f>
        <v>View Full Record in Web of Science</v>
      </c>
    </row>
    <row r="735" spans="1:72" x14ac:dyDescent="0.15">
      <c r="A735" t="s">
        <v>72</v>
      </c>
      <c r="B735" t="s">
        <v>10079</v>
      </c>
      <c r="C735" t="s">
        <v>74</v>
      </c>
      <c r="D735" t="s">
        <v>74</v>
      </c>
      <c r="E735" t="s">
        <v>74</v>
      </c>
      <c r="F735" t="s">
        <v>10079</v>
      </c>
      <c r="G735" t="s">
        <v>74</v>
      </c>
      <c r="H735" t="s">
        <v>74</v>
      </c>
      <c r="I735" t="s">
        <v>10080</v>
      </c>
      <c r="J735" t="s">
        <v>10081</v>
      </c>
      <c r="K735" t="s">
        <v>74</v>
      </c>
      <c r="L735" t="s">
        <v>74</v>
      </c>
      <c r="M735" t="s">
        <v>77</v>
      </c>
      <c r="N735" t="s">
        <v>153</v>
      </c>
      <c r="O735" t="s">
        <v>74</v>
      </c>
      <c r="P735" t="s">
        <v>74</v>
      </c>
      <c r="Q735" t="s">
        <v>74</v>
      </c>
      <c r="R735" t="s">
        <v>74</v>
      </c>
      <c r="S735" t="s">
        <v>74</v>
      </c>
      <c r="T735" t="s">
        <v>10082</v>
      </c>
      <c r="U735" t="s">
        <v>10083</v>
      </c>
      <c r="V735" t="s">
        <v>10084</v>
      </c>
      <c r="W735" t="s">
        <v>10085</v>
      </c>
      <c r="X735" t="s">
        <v>10086</v>
      </c>
      <c r="Y735" t="s">
        <v>10087</v>
      </c>
      <c r="Z735" t="s">
        <v>74</v>
      </c>
      <c r="AA735" t="s">
        <v>10088</v>
      </c>
      <c r="AB735" t="s">
        <v>10089</v>
      </c>
      <c r="AC735" t="s">
        <v>74</v>
      </c>
      <c r="AD735" t="s">
        <v>74</v>
      </c>
      <c r="AE735" t="s">
        <v>74</v>
      </c>
      <c r="AF735" t="s">
        <v>74</v>
      </c>
      <c r="AG735">
        <v>27</v>
      </c>
      <c r="AH735">
        <v>4</v>
      </c>
      <c r="AI735">
        <v>4</v>
      </c>
      <c r="AJ735">
        <v>2</v>
      </c>
      <c r="AK735">
        <v>19</v>
      </c>
      <c r="AL735" t="s">
        <v>1809</v>
      </c>
      <c r="AM735" t="s">
        <v>1251</v>
      </c>
      <c r="AN735" t="s">
        <v>1252</v>
      </c>
      <c r="AO735" t="s">
        <v>10090</v>
      </c>
      <c r="AP735" t="s">
        <v>74</v>
      </c>
      <c r="AQ735" t="s">
        <v>74</v>
      </c>
      <c r="AR735" t="s">
        <v>10091</v>
      </c>
      <c r="AS735" t="s">
        <v>10092</v>
      </c>
      <c r="AT735" t="s">
        <v>7127</v>
      </c>
      <c r="AU735">
        <v>2002</v>
      </c>
      <c r="AV735">
        <v>27</v>
      </c>
      <c r="AW735">
        <v>1</v>
      </c>
      <c r="AX735" t="s">
        <v>74</v>
      </c>
      <c r="AY735" t="s">
        <v>74</v>
      </c>
      <c r="AZ735" t="s">
        <v>74</v>
      </c>
      <c r="BA735" t="s">
        <v>74</v>
      </c>
      <c r="BB735">
        <v>145</v>
      </c>
      <c r="BC735">
        <v>150</v>
      </c>
      <c r="BD735" t="s">
        <v>74</v>
      </c>
      <c r="BE735" t="s">
        <v>10093</v>
      </c>
      <c r="BF735" t="str">
        <f>HYPERLINK("http://dx.doi.org/10.1023/A:1013547028068","http://dx.doi.org/10.1023/A:1013547028068")</f>
        <v>http://dx.doi.org/10.1023/A:1013547028068</v>
      </c>
      <c r="BG735" t="s">
        <v>74</v>
      </c>
      <c r="BH735" t="s">
        <v>74</v>
      </c>
      <c r="BI735">
        <v>6</v>
      </c>
      <c r="BJ735" t="s">
        <v>10094</v>
      </c>
      <c r="BK735" t="s">
        <v>170</v>
      </c>
      <c r="BL735" t="s">
        <v>10095</v>
      </c>
      <c r="BM735" t="s">
        <v>10096</v>
      </c>
      <c r="BN735" t="s">
        <v>74</v>
      </c>
      <c r="BO735" t="s">
        <v>74</v>
      </c>
      <c r="BP735" t="s">
        <v>74</v>
      </c>
      <c r="BQ735" t="s">
        <v>74</v>
      </c>
      <c r="BR735" t="s">
        <v>107</v>
      </c>
      <c r="BS735" t="s">
        <v>10097</v>
      </c>
      <c r="BT735" t="str">
        <f>HYPERLINK("https%3A%2F%2Fwww.webofscience.com%2Fwos%2Fwoscc%2Ffull-record%2FWOS:000173086500011","View Full Record in Web of Science")</f>
        <v>View Full Record in Web of Science</v>
      </c>
    </row>
    <row r="736" spans="1:72" x14ac:dyDescent="0.15">
      <c r="A736" t="s">
        <v>72</v>
      </c>
      <c r="B736" t="s">
        <v>10098</v>
      </c>
      <c r="C736" t="s">
        <v>74</v>
      </c>
      <c r="D736" t="s">
        <v>74</v>
      </c>
      <c r="E736" t="s">
        <v>74</v>
      </c>
      <c r="F736" t="s">
        <v>10098</v>
      </c>
      <c r="G736" t="s">
        <v>74</v>
      </c>
      <c r="H736" t="s">
        <v>74</v>
      </c>
      <c r="I736" t="s">
        <v>10099</v>
      </c>
      <c r="J736" t="s">
        <v>1657</v>
      </c>
      <c r="K736" t="s">
        <v>74</v>
      </c>
      <c r="L736" t="s">
        <v>74</v>
      </c>
      <c r="M736" t="s">
        <v>77</v>
      </c>
      <c r="N736" t="s">
        <v>153</v>
      </c>
      <c r="O736" t="s">
        <v>74</v>
      </c>
      <c r="P736" t="s">
        <v>74</v>
      </c>
      <c r="Q736" t="s">
        <v>74</v>
      </c>
      <c r="R736" t="s">
        <v>74</v>
      </c>
      <c r="S736" t="s">
        <v>74</v>
      </c>
      <c r="T736" t="s">
        <v>74</v>
      </c>
      <c r="U736" t="s">
        <v>10100</v>
      </c>
      <c r="V736" t="s">
        <v>10101</v>
      </c>
      <c r="W736" t="s">
        <v>10102</v>
      </c>
      <c r="X736" t="s">
        <v>10103</v>
      </c>
      <c r="Y736" t="s">
        <v>10104</v>
      </c>
      <c r="Z736" t="s">
        <v>74</v>
      </c>
      <c r="AA736" t="s">
        <v>10105</v>
      </c>
      <c r="AB736" t="s">
        <v>10106</v>
      </c>
      <c r="AC736" t="s">
        <v>74</v>
      </c>
      <c r="AD736" t="s">
        <v>74</v>
      </c>
      <c r="AE736" t="s">
        <v>74</v>
      </c>
      <c r="AF736" t="s">
        <v>74</v>
      </c>
      <c r="AG736">
        <v>32</v>
      </c>
      <c r="AH736">
        <v>118</v>
      </c>
      <c r="AI736">
        <v>129</v>
      </c>
      <c r="AJ736">
        <v>0</v>
      </c>
      <c r="AK736">
        <v>12</v>
      </c>
      <c r="AL736" t="s">
        <v>1439</v>
      </c>
      <c r="AM736" t="s">
        <v>1440</v>
      </c>
      <c r="AN736" t="s">
        <v>1441</v>
      </c>
      <c r="AO736" t="s">
        <v>1666</v>
      </c>
      <c r="AP736" t="s">
        <v>1694</v>
      </c>
      <c r="AQ736" t="s">
        <v>74</v>
      </c>
      <c r="AR736" t="s">
        <v>1667</v>
      </c>
      <c r="AS736" t="s">
        <v>1668</v>
      </c>
      <c r="AT736" t="s">
        <v>74</v>
      </c>
      <c r="AU736">
        <v>2002</v>
      </c>
      <c r="AV736">
        <v>32</v>
      </c>
      <c r="AW736">
        <v>1</v>
      </c>
      <c r="AX736" t="s">
        <v>74</v>
      </c>
      <c r="AY736" t="s">
        <v>74</v>
      </c>
      <c r="AZ736" t="s">
        <v>74</v>
      </c>
      <c r="BA736" t="s">
        <v>74</v>
      </c>
      <c r="BB736">
        <v>39</v>
      </c>
      <c r="BC736">
        <v>54</v>
      </c>
      <c r="BD736" t="s">
        <v>74</v>
      </c>
      <c r="BE736" t="s">
        <v>10107</v>
      </c>
      <c r="BF736" t="str">
        <f>HYPERLINK("http://dx.doi.org/10.1175/1520-0485(2002)032&lt;0039:TROETI&gt;2.0.CO;2","http://dx.doi.org/10.1175/1520-0485(2002)032&lt;0039:TROETI&gt;2.0.CO;2")</f>
        <v>http://dx.doi.org/10.1175/1520-0485(2002)032&lt;0039:TROETI&gt;2.0.CO;2</v>
      </c>
      <c r="BG736" t="s">
        <v>74</v>
      </c>
      <c r="BH736" t="s">
        <v>74</v>
      </c>
      <c r="BI736">
        <v>16</v>
      </c>
      <c r="BJ736" t="s">
        <v>1155</v>
      </c>
      <c r="BK736" t="s">
        <v>170</v>
      </c>
      <c r="BL736" t="s">
        <v>1155</v>
      </c>
      <c r="BM736" t="s">
        <v>10108</v>
      </c>
      <c r="BN736" t="s">
        <v>74</v>
      </c>
      <c r="BO736" t="s">
        <v>173</v>
      </c>
      <c r="BP736" t="s">
        <v>74</v>
      </c>
      <c r="BQ736" t="s">
        <v>74</v>
      </c>
      <c r="BR736" t="s">
        <v>107</v>
      </c>
      <c r="BS736" t="s">
        <v>10109</v>
      </c>
      <c r="BT736" t="str">
        <f>HYPERLINK("https%3A%2F%2Fwww.webofscience.com%2Fwos%2Fwoscc%2Ffull-record%2FWOS:000173257700020","View Full Record in Web of Science")</f>
        <v>View Full Record in Web of Science</v>
      </c>
    </row>
    <row r="737" spans="1:72" x14ac:dyDescent="0.15">
      <c r="A737" t="s">
        <v>72</v>
      </c>
      <c r="B737" t="s">
        <v>10110</v>
      </c>
      <c r="C737" t="s">
        <v>74</v>
      </c>
      <c r="D737" t="s">
        <v>74</v>
      </c>
      <c r="E737" t="s">
        <v>74</v>
      </c>
      <c r="F737" t="s">
        <v>10110</v>
      </c>
      <c r="G737" t="s">
        <v>74</v>
      </c>
      <c r="H737" t="s">
        <v>74</v>
      </c>
      <c r="I737" t="s">
        <v>10111</v>
      </c>
      <c r="J737" t="s">
        <v>1657</v>
      </c>
      <c r="K737" t="s">
        <v>74</v>
      </c>
      <c r="L737" t="s">
        <v>74</v>
      </c>
      <c r="M737" t="s">
        <v>77</v>
      </c>
      <c r="N737" t="s">
        <v>153</v>
      </c>
      <c r="O737" t="s">
        <v>74</v>
      </c>
      <c r="P737" t="s">
        <v>74</v>
      </c>
      <c r="Q737" t="s">
        <v>74</v>
      </c>
      <c r="R737" t="s">
        <v>74</v>
      </c>
      <c r="S737" t="s">
        <v>74</v>
      </c>
      <c r="T737" t="s">
        <v>74</v>
      </c>
      <c r="U737" t="s">
        <v>10112</v>
      </c>
      <c r="V737" t="s">
        <v>10113</v>
      </c>
      <c r="W737" t="s">
        <v>851</v>
      </c>
      <c r="X737" t="s">
        <v>852</v>
      </c>
      <c r="Y737" t="s">
        <v>268</v>
      </c>
      <c r="Z737" t="s">
        <v>10114</v>
      </c>
      <c r="AA737" t="s">
        <v>10115</v>
      </c>
      <c r="AB737" t="s">
        <v>10116</v>
      </c>
      <c r="AC737" t="s">
        <v>74</v>
      </c>
      <c r="AD737" t="s">
        <v>74</v>
      </c>
      <c r="AE737" t="s">
        <v>74</v>
      </c>
      <c r="AF737" t="s">
        <v>74</v>
      </c>
      <c r="AG737">
        <v>30</v>
      </c>
      <c r="AH737">
        <v>29</v>
      </c>
      <c r="AI737">
        <v>32</v>
      </c>
      <c r="AJ737">
        <v>0</v>
      </c>
      <c r="AK737">
        <v>5</v>
      </c>
      <c r="AL737" t="s">
        <v>1439</v>
      </c>
      <c r="AM737" t="s">
        <v>1440</v>
      </c>
      <c r="AN737" t="s">
        <v>1441</v>
      </c>
      <c r="AO737" t="s">
        <v>1666</v>
      </c>
      <c r="AP737" t="s">
        <v>1694</v>
      </c>
      <c r="AQ737" t="s">
        <v>74</v>
      </c>
      <c r="AR737" t="s">
        <v>1667</v>
      </c>
      <c r="AS737" t="s">
        <v>1668</v>
      </c>
      <c r="AT737" t="s">
        <v>74</v>
      </c>
      <c r="AU737">
        <v>2002</v>
      </c>
      <c r="AV737">
        <v>32</v>
      </c>
      <c r="AW737">
        <v>1</v>
      </c>
      <c r="AX737" t="s">
        <v>74</v>
      </c>
      <c r="AY737" t="s">
        <v>74</v>
      </c>
      <c r="AZ737" t="s">
        <v>74</v>
      </c>
      <c r="BA737" t="s">
        <v>74</v>
      </c>
      <c r="BB737">
        <v>202</v>
      </c>
      <c r="BC737">
        <v>215</v>
      </c>
      <c r="BD737" t="s">
        <v>74</v>
      </c>
      <c r="BE737" t="s">
        <v>10117</v>
      </c>
      <c r="BF737" t="str">
        <f>HYPERLINK("http://dx.doi.org/10.1175/1520-0485(2002)032&lt;0202:MTCPAV&gt;2.0.CO;2","http://dx.doi.org/10.1175/1520-0485(2002)032&lt;0202:MTCPAV&gt;2.0.CO;2")</f>
        <v>http://dx.doi.org/10.1175/1520-0485(2002)032&lt;0202:MTCPAV&gt;2.0.CO;2</v>
      </c>
      <c r="BG737" t="s">
        <v>74</v>
      </c>
      <c r="BH737" t="s">
        <v>74</v>
      </c>
      <c r="BI737">
        <v>14</v>
      </c>
      <c r="BJ737" t="s">
        <v>1155</v>
      </c>
      <c r="BK737" t="s">
        <v>170</v>
      </c>
      <c r="BL737" t="s">
        <v>1155</v>
      </c>
      <c r="BM737" t="s">
        <v>10108</v>
      </c>
      <c r="BN737" t="s">
        <v>74</v>
      </c>
      <c r="BO737" t="s">
        <v>10118</v>
      </c>
      <c r="BP737" t="s">
        <v>74</v>
      </c>
      <c r="BQ737" t="s">
        <v>74</v>
      </c>
      <c r="BR737" t="s">
        <v>107</v>
      </c>
      <c r="BS737" t="s">
        <v>10119</v>
      </c>
      <c r="BT737" t="str">
        <f>HYPERLINK("https%3A%2F%2Fwww.webofscience.com%2Fwos%2Fwoscc%2Ffull-record%2FWOS:000173257700011","View Full Record in Web of Science")</f>
        <v>View Full Record in Web of Science</v>
      </c>
    </row>
    <row r="738" spans="1:72" x14ac:dyDescent="0.15">
      <c r="A738" t="s">
        <v>72</v>
      </c>
      <c r="B738" t="s">
        <v>10120</v>
      </c>
      <c r="C738" t="s">
        <v>74</v>
      </c>
      <c r="D738" t="s">
        <v>74</v>
      </c>
      <c r="E738" t="s">
        <v>74</v>
      </c>
      <c r="F738" t="s">
        <v>10120</v>
      </c>
      <c r="G738" t="s">
        <v>74</v>
      </c>
      <c r="H738" t="s">
        <v>74</v>
      </c>
      <c r="I738" t="s">
        <v>10121</v>
      </c>
      <c r="J738" t="s">
        <v>2841</v>
      </c>
      <c r="K738" t="s">
        <v>74</v>
      </c>
      <c r="L738" t="s">
        <v>74</v>
      </c>
      <c r="M738" t="s">
        <v>77</v>
      </c>
      <c r="N738" t="s">
        <v>153</v>
      </c>
      <c r="O738" t="s">
        <v>74</v>
      </c>
      <c r="P738" t="s">
        <v>74</v>
      </c>
      <c r="Q738" t="s">
        <v>74</v>
      </c>
      <c r="R738" t="s">
        <v>74</v>
      </c>
      <c r="S738" t="s">
        <v>74</v>
      </c>
      <c r="T738" t="s">
        <v>10122</v>
      </c>
      <c r="U738" t="s">
        <v>10123</v>
      </c>
      <c r="V738" t="s">
        <v>10124</v>
      </c>
      <c r="W738" t="s">
        <v>10125</v>
      </c>
      <c r="X738" t="s">
        <v>10126</v>
      </c>
      <c r="Y738" t="s">
        <v>10127</v>
      </c>
      <c r="Z738" t="s">
        <v>74</v>
      </c>
      <c r="AA738" t="s">
        <v>10128</v>
      </c>
      <c r="AB738" t="s">
        <v>10129</v>
      </c>
      <c r="AC738" t="s">
        <v>74</v>
      </c>
      <c r="AD738" t="s">
        <v>74</v>
      </c>
      <c r="AE738" t="s">
        <v>74</v>
      </c>
      <c r="AF738" t="s">
        <v>74</v>
      </c>
      <c r="AG738">
        <v>41</v>
      </c>
      <c r="AH738">
        <v>54</v>
      </c>
      <c r="AI738">
        <v>60</v>
      </c>
      <c r="AJ738">
        <v>0</v>
      </c>
      <c r="AK738">
        <v>22</v>
      </c>
      <c r="AL738" t="s">
        <v>215</v>
      </c>
      <c r="AM738" t="s">
        <v>216</v>
      </c>
      <c r="AN738" t="s">
        <v>217</v>
      </c>
      <c r="AO738" t="s">
        <v>2851</v>
      </c>
      <c r="AP738" t="s">
        <v>74</v>
      </c>
      <c r="AQ738" t="s">
        <v>74</v>
      </c>
      <c r="AR738" t="s">
        <v>2853</v>
      </c>
      <c r="AS738" t="s">
        <v>2854</v>
      </c>
      <c r="AT738" t="s">
        <v>7127</v>
      </c>
      <c r="AU738">
        <v>2002</v>
      </c>
      <c r="AV738">
        <v>17</v>
      </c>
      <c r="AW738">
        <v>1</v>
      </c>
      <c r="AX738" t="s">
        <v>74</v>
      </c>
      <c r="AY738" t="s">
        <v>74</v>
      </c>
      <c r="AZ738" t="s">
        <v>74</v>
      </c>
      <c r="BA738" t="s">
        <v>74</v>
      </c>
      <c r="BB738">
        <v>21</v>
      </c>
      <c r="BC738">
        <v>29</v>
      </c>
      <c r="BD738" t="s">
        <v>74</v>
      </c>
      <c r="BE738" t="s">
        <v>10130</v>
      </c>
      <c r="BF738" t="str">
        <f>HYPERLINK("http://dx.doi.org/10.1002/jqs.664.abs","http://dx.doi.org/10.1002/jqs.664.abs")</f>
        <v>http://dx.doi.org/10.1002/jqs.664.abs</v>
      </c>
      <c r="BG738" t="s">
        <v>74</v>
      </c>
      <c r="BH738" t="s">
        <v>74</v>
      </c>
      <c r="BI738">
        <v>9</v>
      </c>
      <c r="BJ738" t="s">
        <v>1218</v>
      </c>
      <c r="BK738" t="s">
        <v>170</v>
      </c>
      <c r="BL738" t="s">
        <v>224</v>
      </c>
      <c r="BM738" t="s">
        <v>10131</v>
      </c>
      <c r="BN738" t="s">
        <v>74</v>
      </c>
      <c r="BO738" t="s">
        <v>74</v>
      </c>
      <c r="BP738" t="s">
        <v>74</v>
      </c>
      <c r="BQ738" t="s">
        <v>74</v>
      </c>
      <c r="BR738" t="s">
        <v>107</v>
      </c>
      <c r="BS738" t="s">
        <v>10132</v>
      </c>
      <c r="BT738" t="str">
        <f>HYPERLINK("https%3A%2F%2Fwww.webofscience.com%2Fwos%2Fwoscc%2Ffull-record%2FWOS:000173730400003","View Full Record in Web of Science")</f>
        <v>View Full Record in Web of Science</v>
      </c>
    </row>
    <row r="739" spans="1:72" x14ac:dyDescent="0.15">
      <c r="A739" t="s">
        <v>72</v>
      </c>
      <c r="B739" t="s">
        <v>10133</v>
      </c>
      <c r="C739" t="s">
        <v>74</v>
      </c>
      <c r="D739" t="s">
        <v>74</v>
      </c>
      <c r="E739" t="s">
        <v>74</v>
      </c>
      <c r="F739" t="s">
        <v>10133</v>
      </c>
      <c r="G739" t="s">
        <v>74</v>
      </c>
      <c r="H739" t="s">
        <v>74</v>
      </c>
      <c r="I739" t="s">
        <v>10134</v>
      </c>
      <c r="J739" t="s">
        <v>4202</v>
      </c>
      <c r="K739" t="s">
        <v>74</v>
      </c>
      <c r="L739" t="s">
        <v>74</v>
      </c>
      <c r="M739" t="s">
        <v>77</v>
      </c>
      <c r="N739" t="s">
        <v>153</v>
      </c>
      <c r="O739" t="s">
        <v>74</v>
      </c>
      <c r="P739" t="s">
        <v>74</v>
      </c>
      <c r="Q739" t="s">
        <v>74</v>
      </c>
      <c r="R739" t="s">
        <v>74</v>
      </c>
      <c r="S739" t="s">
        <v>74</v>
      </c>
      <c r="T739" t="s">
        <v>74</v>
      </c>
      <c r="U739" t="s">
        <v>10135</v>
      </c>
      <c r="V739" t="s">
        <v>10136</v>
      </c>
      <c r="W739" t="s">
        <v>10137</v>
      </c>
      <c r="X739" t="s">
        <v>10138</v>
      </c>
      <c r="Y739" t="s">
        <v>10139</v>
      </c>
      <c r="Z739" t="s">
        <v>74</v>
      </c>
      <c r="AA739" t="s">
        <v>74</v>
      </c>
      <c r="AB739" t="s">
        <v>74</v>
      </c>
      <c r="AC739" t="s">
        <v>74</v>
      </c>
      <c r="AD739" t="s">
        <v>74</v>
      </c>
      <c r="AE739" t="s">
        <v>74</v>
      </c>
      <c r="AF739" t="s">
        <v>74</v>
      </c>
      <c r="AG739">
        <v>46</v>
      </c>
      <c r="AH739">
        <v>50</v>
      </c>
      <c r="AI739">
        <v>51</v>
      </c>
      <c r="AJ739">
        <v>1</v>
      </c>
      <c r="AK739">
        <v>10</v>
      </c>
      <c r="AL739" t="s">
        <v>1439</v>
      </c>
      <c r="AM739" t="s">
        <v>1440</v>
      </c>
      <c r="AN739" t="s">
        <v>1441</v>
      </c>
      <c r="AO739" t="s">
        <v>4210</v>
      </c>
      <c r="AP739" t="s">
        <v>74</v>
      </c>
      <c r="AQ739" t="s">
        <v>74</v>
      </c>
      <c r="AR739" t="s">
        <v>4211</v>
      </c>
      <c r="AS739" t="s">
        <v>4212</v>
      </c>
      <c r="AT739" t="s">
        <v>74</v>
      </c>
      <c r="AU739">
        <v>2002</v>
      </c>
      <c r="AV739">
        <v>59</v>
      </c>
      <c r="AW739">
        <v>2</v>
      </c>
      <c r="AX739" t="s">
        <v>74</v>
      </c>
      <c r="AY739" t="s">
        <v>74</v>
      </c>
      <c r="AZ739" t="s">
        <v>74</v>
      </c>
      <c r="BA739" t="s">
        <v>74</v>
      </c>
      <c r="BB739">
        <v>218</v>
      </c>
      <c r="BC739">
        <v>232</v>
      </c>
      <c r="BD739" t="s">
        <v>74</v>
      </c>
      <c r="BE739" t="s">
        <v>10140</v>
      </c>
      <c r="BF739" t="str">
        <f>HYPERLINK("http://dx.doi.org/10.1175/1520-0469(2002)059&lt;0218:ATDCCC&gt;2.0.CO;2","http://dx.doi.org/10.1175/1520-0469(2002)059&lt;0218:ATDCCC&gt;2.0.CO;2")</f>
        <v>http://dx.doi.org/10.1175/1520-0469(2002)059&lt;0218:ATDCCC&gt;2.0.CO;2</v>
      </c>
      <c r="BG739" t="s">
        <v>74</v>
      </c>
      <c r="BH739" t="s">
        <v>74</v>
      </c>
      <c r="BI739">
        <v>15</v>
      </c>
      <c r="BJ739" t="s">
        <v>403</v>
      </c>
      <c r="BK739" t="s">
        <v>170</v>
      </c>
      <c r="BL739" t="s">
        <v>403</v>
      </c>
      <c r="BM739" t="s">
        <v>10141</v>
      </c>
      <c r="BN739" t="s">
        <v>74</v>
      </c>
      <c r="BO739" t="s">
        <v>461</v>
      </c>
      <c r="BP739" t="s">
        <v>74</v>
      </c>
      <c r="BQ739" t="s">
        <v>74</v>
      </c>
      <c r="BR739" t="s">
        <v>107</v>
      </c>
      <c r="BS739" t="s">
        <v>10142</v>
      </c>
      <c r="BT739" t="str">
        <f>HYPERLINK("https%3A%2F%2Fwww.webofscience.com%2Fwos%2Fwoscc%2Ffull-record%2FWOS:000172882300007","View Full Record in Web of Science")</f>
        <v>View Full Record in Web of Science</v>
      </c>
    </row>
    <row r="740" spans="1:72" x14ac:dyDescent="0.15">
      <c r="A740" t="s">
        <v>72</v>
      </c>
      <c r="B740" t="s">
        <v>10143</v>
      </c>
      <c r="C740" t="s">
        <v>74</v>
      </c>
      <c r="D740" t="s">
        <v>74</v>
      </c>
      <c r="E740" t="s">
        <v>74</v>
      </c>
      <c r="F740" t="s">
        <v>10143</v>
      </c>
      <c r="G740" t="s">
        <v>74</v>
      </c>
      <c r="H740" t="s">
        <v>74</v>
      </c>
      <c r="I740" t="s">
        <v>10144</v>
      </c>
      <c r="J740" t="s">
        <v>2860</v>
      </c>
      <c r="K740" t="s">
        <v>74</v>
      </c>
      <c r="L740" t="s">
        <v>74</v>
      </c>
      <c r="M740" t="s">
        <v>77</v>
      </c>
      <c r="N740" t="s">
        <v>153</v>
      </c>
      <c r="O740" t="s">
        <v>74</v>
      </c>
      <c r="P740" t="s">
        <v>74</v>
      </c>
      <c r="Q740" t="s">
        <v>74</v>
      </c>
      <c r="R740" t="s">
        <v>74</v>
      </c>
      <c r="S740" t="s">
        <v>74</v>
      </c>
      <c r="T740" t="s">
        <v>10145</v>
      </c>
      <c r="U740" t="s">
        <v>10146</v>
      </c>
      <c r="V740" t="s">
        <v>10147</v>
      </c>
      <c r="W740" t="s">
        <v>10148</v>
      </c>
      <c r="X740" t="s">
        <v>10149</v>
      </c>
      <c r="Y740" t="s">
        <v>10150</v>
      </c>
      <c r="Z740" t="s">
        <v>10151</v>
      </c>
      <c r="AA740" t="s">
        <v>10152</v>
      </c>
      <c r="AB740" t="s">
        <v>10153</v>
      </c>
      <c r="AC740" t="s">
        <v>74</v>
      </c>
      <c r="AD740" t="s">
        <v>74</v>
      </c>
      <c r="AE740" t="s">
        <v>74</v>
      </c>
      <c r="AF740" t="s">
        <v>74</v>
      </c>
      <c r="AG740">
        <v>82</v>
      </c>
      <c r="AH740">
        <v>59</v>
      </c>
      <c r="AI740">
        <v>64</v>
      </c>
      <c r="AJ740">
        <v>0</v>
      </c>
      <c r="AK740">
        <v>10</v>
      </c>
      <c r="AL740" t="s">
        <v>2866</v>
      </c>
      <c r="AM740" t="s">
        <v>2867</v>
      </c>
      <c r="AN740" t="s">
        <v>2868</v>
      </c>
      <c r="AO740" t="s">
        <v>2869</v>
      </c>
      <c r="AP740" t="s">
        <v>2870</v>
      </c>
      <c r="AQ740" t="s">
        <v>74</v>
      </c>
      <c r="AR740" t="s">
        <v>2871</v>
      </c>
      <c r="AS740" t="s">
        <v>2872</v>
      </c>
      <c r="AT740" t="s">
        <v>7127</v>
      </c>
      <c r="AU740">
        <v>2002</v>
      </c>
      <c r="AV740">
        <v>159</v>
      </c>
      <c r="AW740" t="s">
        <v>74</v>
      </c>
      <c r="AX740">
        <v>1</v>
      </c>
      <c r="AY740" t="s">
        <v>74</v>
      </c>
      <c r="AZ740" t="s">
        <v>74</v>
      </c>
      <c r="BA740" t="s">
        <v>74</v>
      </c>
      <c r="BB740">
        <v>31</v>
      </c>
      <c r="BC740">
        <v>44</v>
      </c>
      <c r="BD740" t="s">
        <v>74</v>
      </c>
      <c r="BE740" t="s">
        <v>10154</v>
      </c>
      <c r="BF740" t="str">
        <f>HYPERLINK("http://dx.doi.org/10.1144/0016-764900-132","http://dx.doi.org/10.1144/0016-764900-132")</f>
        <v>http://dx.doi.org/10.1144/0016-764900-132</v>
      </c>
      <c r="BG740" t="s">
        <v>74</v>
      </c>
      <c r="BH740" t="s">
        <v>74</v>
      </c>
      <c r="BI740">
        <v>14</v>
      </c>
      <c r="BJ740" t="s">
        <v>608</v>
      </c>
      <c r="BK740" t="s">
        <v>170</v>
      </c>
      <c r="BL740" t="s">
        <v>439</v>
      </c>
      <c r="BM740" t="s">
        <v>10155</v>
      </c>
      <c r="BN740" t="s">
        <v>74</v>
      </c>
      <c r="BO740" t="s">
        <v>74</v>
      </c>
      <c r="BP740" t="s">
        <v>74</v>
      </c>
      <c r="BQ740" t="s">
        <v>74</v>
      </c>
      <c r="BR740" t="s">
        <v>107</v>
      </c>
      <c r="BS740" t="s">
        <v>10156</v>
      </c>
      <c r="BT740" t="str">
        <f>HYPERLINK("https%3A%2F%2Fwww.webofscience.com%2Fwos%2Fwoscc%2Ffull-record%2FWOS:000173188600004","View Full Record in Web of Science")</f>
        <v>View Full Record in Web of Science</v>
      </c>
    </row>
    <row r="741" spans="1:72" x14ac:dyDescent="0.15">
      <c r="A741" t="s">
        <v>72</v>
      </c>
      <c r="B741" t="s">
        <v>1278</v>
      </c>
      <c r="C741" t="s">
        <v>74</v>
      </c>
      <c r="D741" t="s">
        <v>74</v>
      </c>
      <c r="E741" t="s">
        <v>74</v>
      </c>
      <c r="F741" t="s">
        <v>1278</v>
      </c>
      <c r="G741" t="s">
        <v>74</v>
      </c>
      <c r="H741" t="s">
        <v>74</v>
      </c>
      <c r="I741" t="s">
        <v>10157</v>
      </c>
      <c r="J741" t="s">
        <v>10158</v>
      </c>
      <c r="K741" t="s">
        <v>74</v>
      </c>
      <c r="L741" t="s">
        <v>74</v>
      </c>
      <c r="M741" t="s">
        <v>10159</v>
      </c>
      <c r="N741" t="s">
        <v>153</v>
      </c>
      <c r="O741" t="s">
        <v>74</v>
      </c>
      <c r="P741" t="s">
        <v>74</v>
      </c>
      <c r="Q741" t="s">
        <v>74</v>
      </c>
      <c r="R741" t="s">
        <v>74</v>
      </c>
      <c r="S741" t="s">
        <v>74</v>
      </c>
      <c r="T741" t="s">
        <v>74</v>
      </c>
      <c r="U741" t="s">
        <v>74</v>
      </c>
      <c r="V741" t="s">
        <v>10160</v>
      </c>
      <c r="W741" t="s">
        <v>10161</v>
      </c>
      <c r="X741" t="s">
        <v>1284</v>
      </c>
      <c r="Y741" t="s">
        <v>10162</v>
      </c>
      <c r="Z741" t="s">
        <v>74</v>
      </c>
      <c r="AA741" t="s">
        <v>74</v>
      </c>
      <c r="AB741" t="s">
        <v>74</v>
      </c>
      <c r="AC741" t="s">
        <v>74</v>
      </c>
      <c r="AD741" t="s">
        <v>74</v>
      </c>
      <c r="AE741" t="s">
        <v>74</v>
      </c>
      <c r="AF741" t="s">
        <v>74</v>
      </c>
      <c r="AG741">
        <v>17</v>
      </c>
      <c r="AH741">
        <v>2</v>
      </c>
      <c r="AI741">
        <v>2</v>
      </c>
      <c r="AJ741">
        <v>0</v>
      </c>
      <c r="AK741">
        <v>1</v>
      </c>
      <c r="AL741" t="s">
        <v>10163</v>
      </c>
      <c r="AM741" t="s">
        <v>10164</v>
      </c>
      <c r="AN741" t="s">
        <v>10165</v>
      </c>
      <c r="AO741" t="s">
        <v>10166</v>
      </c>
      <c r="AP741" t="s">
        <v>74</v>
      </c>
      <c r="AQ741" t="s">
        <v>74</v>
      </c>
      <c r="AR741" t="s">
        <v>10167</v>
      </c>
      <c r="AS741" t="s">
        <v>10168</v>
      </c>
      <c r="AT741" t="s">
        <v>74</v>
      </c>
      <c r="AU741">
        <v>2002</v>
      </c>
      <c r="AV741">
        <v>49</v>
      </c>
      <c r="AW741">
        <v>2</v>
      </c>
      <c r="AX741" t="s">
        <v>74</v>
      </c>
      <c r="AY741" t="s">
        <v>74</v>
      </c>
      <c r="AZ741" t="s">
        <v>74</v>
      </c>
      <c r="BA741" t="s">
        <v>74</v>
      </c>
      <c r="BB741">
        <v>91</v>
      </c>
      <c r="BC741">
        <v>98</v>
      </c>
      <c r="BD741" t="s">
        <v>74</v>
      </c>
      <c r="BE741" t="s">
        <v>74</v>
      </c>
      <c r="BF741" t="s">
        <v>74</v>
      </c>
      <c r="BG741" t="s">
        <v>74</v>
      </c>
      <c r="BH741" t="s">
        <v>74</v>
      </c>
      <c r="BI741">
        <v>8</v>
      </c>
      <c r="BJ741" t="s">
        <v>10169</v>
      </c>
      <c r="BK741" t="s">
        <v>170</v>
      </c>
      <c r="BL741" t="s">
        <v>10169</v>
      </c>
      <c r="BM741" t="s">
        <v>10170</v>
      </c>
      <c r="BN741" t="s">
        <v>74</v>
      </c>
      <c r="BO741" t="s">
        <v>74</v>
      </c>
      <c r="BP741" t="s">
        <v>74</v>
      </c>
      <c r="BQ741" t="s">
        <v>74</v>
      </c>
      <c r="BR741" t="s">
        <v>107</v>
      </c>
      <c r="BS741" t="s">
        <v>10171</v>
      </c>
      <c r="BT741" t="str">
        <f>HYPERLINK("https%3A%2F%2Fwww.webofscience.com%2Fwos%2Fwoscc%2Ffull-record%2FWOS:000174954400004","View Full Record in Web of Science")</f>
        <v>View Full Record in Web of Science</v>
      </c>
    </row>
    <row r="742" spans="1:72" x14ac:dyDescent="0.15">
      <c r="A742" t="s">
        <v>72</v>
      </c>
      <c r="B742" t="s">
        <v>10172</v>
      </c>
      <c r="C742" t="s">
        <v>74</v>
      </c>
      <c r="D742" t="s">
        <v>74</v>
      </c>
      <c r="E742" t="s">
        <v>74</v>
      </c>
      <c r="F742" t="s">
        <v>10172</v>
      </c>
      <c r="G742" t="s">
        <v>74</v>
      </c>
      <c r="H742" t="s">
        <v>74</v>
      </c>
      <c r="I742" t="s">
        <v>10173</v>
      </c>
      <c r="J742" t="s">
        <v>10174</v>
      </c>
      <c r="K742" t="s">
        <v>74</v>
      </c>
      <c r="L742" t="s">
        <v>74</v>
      </c>
      <c r="M742" t="s">
        <v>77</v>
      </c>
      <c r="N742" t="s">
        <v>78</v>
      </c>
      <c r="O742" t="s">
        <v>10175</v>
      </c>
      <c r="P742" t="s">
        <v>10176</v>
      </c>
      <c r="Q742" t="s">
        <v>10177</v>
      </c>
      <c r="R742" t="s">
        <v>74</v>
      </c>
      <c r="S742" t="s">
        <v>74</v>
      </c>
      <c r="T742" t="s">
        <v>10178</v>
      </c>
      <c r="U742" t="s">
        <v>10179</v>
      </c>
      <c r="V742" t="s">
        <v>10180</v>
      </c>
      <c r="W742" t="s">
        <v>10181</v>
      </c>
      <c r="X742" t="s">
        <v>7844</v>
      </c>
      <c r="Y742" t="s">
        <v>10182</v>
      </c>
      <c r="Z742" t="s">
        <v>74</v>
      </c>
      <c r="AA742" t="s">
        <v>74</v>
      </c>
      <c r="AB742" t="s">
        <v>10183</v>
      </c>
      <c r="AC742" t="s">
        <v>74</v>
      </c>
      <c r="AD742" t="s">
        <v>74</v>
      </c>
      <c r="AE742" t="s">
        <v>74</v>
      </c>
      <c r="AF742" t="s">
        <v>74</v>
      </c>
      <c r="AG742">
        <v>11</v>
      </c>
      <c r="AH742">
        <v>7</v>
      </c>
      <c r="AI742">
        <v>7</v>
      </c>
      <c r="AJ742">
        <v>1</v>
      </c>
      <c r="AK742">
        <v>7</v>
      </c>
      <c r="AL742" t="s">
        <v>1809</v>
      </c>
      <c r="AM742" t="s">
        <v>1251</v>
      </c>
      <c r="AN742" t="s">
        <v>1252</v>
      </c>
      <c r="AO742" t="s">
        <v>10184</v>
      </c>
      <c r="AP742" t="s">
        <v>74</v>
      </c>
      <c r="AQ742" t="s">
        <v>74</v>
      </c>
      <c r="AR742" t="s">
        <v>10185</v>
      </c>
      <c r="AS742" t="s">
        <v>10186</v>
      </c>
      <c r="AT742" t="s">
        <v>74</v>
      </c>
      <c r="AU742">
        <v>2002</v>
      </c>
      <c r="AV742">
        <v>70</v>
      </c>
      <c r="AW742">
        <v>1</v>
      </c>
      <c r="AX742" t="s">
        <v>74</v>
      </c>
      <c r="AY742" t="s">
        <v>74</v>
      </c>
      <c r="AZ742" t="s">
        <v>74</v>
      </c>
      <c r="BA742" t="s">
        <v>74</v>
      </c>
      <c r="BB742">
        <v>291</v>
      </c>
      <c r="BC742">
        <v>297</v>
      </c>
      <c r="BD742" t="s">
        <v>74</v>
      </c>
      <c r="BE742" t="s">
        <v>10187</v>
      </c>
      <c r="BF742" t="str">
        <f>HYPERLINK("http://dx.doi.org/10.1023/A:1020694726010","http://dx.doi.org/10.1023/A:1020694726010")</f>
        <v>http://dx.doi.org/10.1023/A:1020694726010</v>
      </c>
      <c r="BG742" t="s">
        <v>74</v>
      </c>
      <c r="BH742" t="s">
        <v>74</v>
      </c>
      <c r="BI742">
        <v>7</v>
      </c>
      <c r="BJ742" t="s">
        <v>10188</v>
      </c>
      <c r="BK742" t="s">
        <v>744</v>
      </c>
      <c r="BL742" t="s">
        <v>10189</v>
      </c>
      <c r="BM742" t="s">
        <v>10190</v>
      </c>
      <c r="BN742" t="s">
        <v>74</v>
      </c>
      <c r="BO742" t="s">
        <v>74</v>
      </c>
      <c r="BP742" t="s">
        <v>74</v>
      </c>
      <c r="BQ742" t="s">
        <v>74</v>
      </c>
      <c r="BR742" t="s">
        <v>107</v>
      </c>
      <c r="BS742" t="s">
        <v>10191</v>
      </c>
      <c r="BT742" t="str">
        <f>HYPERLINK("https%3A%2F%2Fwww.webofscience.com%2Fwos%2Fwoscc%2Ffull-record%2FWOS:000178651300034","View Full Record in Web of Science")</f>
        <v>View Full Record in Web of Science</v>
      </c>
    </row>
    <row r="743" spans="1:72" x14ac:dyDescent="0.15">
      <c r="A743" t="s">
        <v>72</v>
      </c>
      <c r="B743" t="s">
        <v>10192</v>
      </c>
      <c r="C743" t="s">
        <v>74</v>
      </c>
      <c r="D743" t="s">
        <v>74</v>
      </c>
      <c r="E743" t="s">
        <v>74</v>
      </c>
      <c r="F743" t="s">
        <v>10192</v>
      </c>
      <c r="G743" t="s">
        <v>74</v>
      </c>
      <c r="H743" t="s">
        <v>74</v>
      </c>
      <c r="I743" t="s">
        <v>10193</v>
      </c>
      <c r="J743" t="s">
        <v>10194</v>
      </c>
      <c r="K743" t="s">
        <v>74</v>
      </c>
      <c r="L743" t="s">
        <v>74</v>
      </c>
      <c r="M743" t="s">
        <v>77</v>
      </c>
      <c r="N743" t="s">
        <v>153</v>
      </c>
      <c r="O743" t="s">
        <v>74</v>
      </c>
      <c r="P743" t="s">
        <v>74</v>
      </c>
      <c r="Q743" t="s">
        <v>74</v>
      </c>
      <c r="R743" t="s">
        <v>74</v>
      </c>
      <c r="S743" t="s">
        <v>74</v>
      </c>
      <c r="T743" t="s">
        <v>10195</v>
      </c>
      <c r="U743" t="s">
        <v>10196</v>
      </c>
      <c r="V743" t="s">
        <v>10197</v>
      </c>
      <c r="W743" t="s">
        <v>10198</v>
      </c>
      <c r="X743" t="s">
        <v>10199</v>
      </c>
      <c r="Y743" t="s">
        <v>10200</v>
      </c>
      <c r="Z743" t="s">
        <v>74</v>
      </c>
      <c r="AA743" t="s">
        <v>74</v>
      </c>
      <c r="AB743" t="s">
        <v>74</v>
      </c>
      <c r="AC743" t="s">
        <v>74</v>
      </c>
      <c r="AD743" t="s">
        <v>74</v>
      </c>
      <c r="AE743" t="s">
        <v>74</v>
      </c>
      <c r="AF743" t="s">
        <v>74</v>
      </c>
      <c r="AG743">
        <v>13</v>
      </c>
      <c r="AH743">
        <v>9</v>
      </c>
      <c r="AI743">
        <v>9</v>
      </c>
      <c r="AJ743">
        <v>0</v>
      </c>
      <c r="AK743">
        <v>5</v>
      </c>
      <c r="AL743" t="s">
        <v>10201</v>
      </c>
      <c r="AM743" t="s">
        <v>3580</v>
      </c>
      <c r="AN743" t="s">
        <v>10202</v>
      </c>
      <c r="AO743" t="s">
        <v>10203</v>
      </c>
      <c r="AP743" t="s">
        <v>74</v>
      </c>
      <c r="AQ743" t="s">
        <v>74</v>
      </c>
      <c r="AR743" t="s">
        <v>10204</v>
      </c>
      <c r="AS743" t="s">
        <v>10205</v>
      </c>
      <c r="AT743" t="s">
        <v>7127</v>
      </c>
      <c r="AU743">
        <v>2002</v>
      </c>
      <c r="AV743">
        <v>38</v>
      </c>
      <c r="AW743">
        <v>1</v>
      </c>
      <c r="AX743" t="s">
        <v>74</v>
      </c>
      <c r="AY743" t="s">
        <v>74</v>
      </c>
      <c r="AZ743" t="s">
        <v>74</v>
      </c>
      <c r="BA743" t="s">
        <v>74</v>
      </c>
      <c r="BB743">
        <v>213</v>
      </c>
      <c r="BC743">
        <v>215</v>
      </c>
      <c r="BD743" t="s">
        <v>74</v>
      </c>
      <c r="BE743" t="s">
        <v>10206</v>
      </c>
      <c r="BF743" t="str">
        <f>HYPERLINK("http://dx.doi.org/10.7589/0090-3558-38.1.213","http://dx.doi.org/10.7589/0090-3558-38.1.213")</f>
        <v>http://dx.doi.org/10.7589/0090-3558-38.1.213</v>
      </c>
      <c r="BG743" t="s">
        <v>74</v>
      </c>
      <c r="BH743" t="s">
        <v>74</v>
      </c>
      <c r="BI743">
        <v>3</v>
      </c>
      <c r="BJ743" t="s">
        <v>7810</v>
      </c>
      <c r="BK743" t="s">
        <v>170</v>
      </c>
      <c r="BL743" t="s">
        <v>7810</v>
      </c>
      <c r="BM743" t="s">
        <v>10207</v>
      </c>
      <c r="BN743">
        <v>11838219</v>
      </c>
      <c r="BO743" t="s">
        <v>535</v>
      </c>
      <c r="BP743" t="s">
        <v>74</v>
      </c>
      <c r="BQ743" t="s">
        <v>74</v>
      </c>
      <c r="BR743" t="s">
        <v>107</v>
      </c>
      <c r="BS743" t="s">
        <v>10208</v>
      </c>
      <c r="BT743" t="str">
        <f>HYPERLINK("https%3A%2F%2Fwww.webofscience.com%2Fwos%2Fwoscc%2Ffull-record%2FWOS:000173689100031","View Full Record in Web of Science")</f>
        <v>View Full Record in Web of Science</v>
      </c>
    </row>
    <row r="744" spans="1:72" x14ac:dyDescent="0.15">
      <c r="A744" t="s">
        <v>72</v>
      </c>
      <c r="B744" t="s">
        <v>10209</v>
      </c>
      <c r="C744" t="s">
        <v>74</v>
      </c>
      <c r="D744" t="s">
        <v>74</v>
      </c>
      <c r="E744" t="s">
        <v>74</v>
      </c>
      <c r="F744" t="s">
        <v>10209</v>
      </c>
      <c r="G744" t="s">
        <v>74</v>
      </c>
      <c r="H744" t="s">
        <v>74</v>
      </c>
      <c r="I744" t="s">
        <v>10210</v>
      </c>
      <c r="J744" t="s">
        <v>10211</v>
      </c>
      <c r="K744" t="s">
        <v>74</v>
      </c>
      <c r="L744" t="s">
        <v>74</v>
      </c>
      <c r="M744" t="s">
        <v>77</v>
      </c>
      <c r="N744" t="s">
        <v>153</v>
      </c>
      <c r="O744" t="s">
        <v>74</v>
      </c>
      <c r="P744" t="s">
        <v>74</v>
      </c>
      <c r="Q744" t="s">
        <v>74</v>
      </c>
      <c r="R744" t="s">
        <v>74</v>
      </c>
      <c r="S744" t="s">
        <v>74</v>
      </c>
      <c r="T744" t="s">
        <v>10212</v>
      </c>
      <c r="U744" t="s">
        <v>74</v>
      </c>
      <c r="V744" t="s">
        <v>10213</v>
      </c>
      <c r="W744" t="s">
        <v>10214</v>
      </c>
      <c r="X744" t="s">
        <v>74</v>
      </c>
      <c r="Y744" t="s">
        <v>10215</v>
      </c>
      <c r="Z744" t="s">
        <v>74</v>
      </c>
      <c r="AA744" t="s">
        <v>74</v>
      </c>
      <c r="AB744" t="s">
        <v>74</v>
      </c>
      <c r="AC744" t="s">
        <v>74</v>
      </c>
      <c r="AD744" t="s">
        <v>74</v>
      </c>
      <c r="AE744" t="s">
        <v>74</v>
      </c>
      <c r="AF744" t="s">
        <v>74</v>
      </c>
      <c r="AG744">
        <v>13</v>
      </c>
      <c r="AH744">
        <v>7</v>
      </c>
      <c r="AI744">
        <v>10</v>
      </c>
      <c r="AJ744">
        <v>0</v>
      </c>
      <c r="AK744">
        <v>1</v>
      </c>
      <c r="AL744" t="s">
        <v>10216</v>
      </c>
      <c r="AM744" t="s">
        <v>10217</v>
      </c>
      <c r="AN744" t="s">
        <v>10218</v>
      </c>
      <c r="AO744" t="s">
        <v>10219</v>
      </c>
      <c r="AP744" t="s">
        <v>74</v>
      </c>
      <c r="AQ744" t="s">
        <v>74</v>
      </c>
      <c r="AR744" t="s">
        <v>10211</v>
      </c>
      <c r="AS744" t="s">
        <v>10220</v>
      </c>
      <c r="AT744" t="s">
        <v>74</v>
      </c>
      <c r="AU744">
        <v>2002</v>
      </c>
      <c r="AV744">
        <v>44</v>
      </c>
      <c r="AW744">
        <v>2</v>
      </c>
      <c r="AX744" t="s">
        <v>74</v>
      </c>
      <c r="AY744" t="s">
        <v>74</v>
      </c>
      <c r="AZ744" t="s">
        <v>74</v>
      </c>
      <c r="BA744" t="s">
        <v>74</v>
      </c>
      <c r="BB744">
        <v>353</v>
      </c>
      <c r="BC744">
        <v>361</v>
      </c>
      <c r="BD744" t="s">
        <v>74</v>
      </c>
      <c r="BE744" t="s">
        <v>74</v>
      </c>
      <c r="BF744" t="s">
        <v>74</v>
      </c>
      <c r="BG744" t="s">
        <v>74</v>
      </c>
      <c r="BH744" t="s">
        <v>74</v>
      </c>
      <c r="BI744">
        <v>9</v>
      </c>
      <c r="BJ744" t="s">
        <v>1001</v>
      </c>
      <c r="BK744" t="s">
        <v>170</v>
      </c>
      <c r="BL744" t="s">
        <v>1001</v>
      </c>
      <c r="BM744" t="s">
        <v>10221</v>
      </c>
      <c r="BN744" t="s">
        <v>74</v>
      </c>
      <c r="BO744" t="s">
        <v>74</v>
      </c>
      <c r="BP744" t="s">
        <v>74</v>
      </c>
      <c r="BQ744" t="s">
        <v>74</v>
      </c>
      <c r="BR744" t="s">
        <v>107</v>
      </c>
      <c r="BS744" t="s">
        <v>10222</v>
      </c>
      <c r="BT744" t="str">
        <f>HYPERLINK("https%3A%2F%2Fwww.webofscience.com%2Fwos%2Fwoscc%2Ffull-record%2FWOS:000177725100011","View Full Record in Web of Science")</f>
        <v>View Full Record in Web of Science</v>
      </c>
    </row>
    <row r="745" spans="1:72" x14ac:dyDescent="0.15">
      <c r="A745" t="s">
        <v>72</v>
      </c>
      <c r="B745" t="s">
        <v>10223</v>
      </c>
      <c r="C745" t="s">
        <v>74</v>
      </c>
      <c r="D745" t="s">
        <v>74</v>
      </c>
      <c r="E745" t="s">
        <v>74</v>
      </c>
      <c r="F745" t="s">
        <v>10223</v>
      </c>
      <c r="G745" t="s">
        <v>74</v>
      </c>
      <c r="H745" t="s">
        <v>74</v>
      </c>
      <c r="I745" t="s">
        <v>10224</v>
      </c>
      <c r="J745" t="s">
        <v>10225</v>
      </c>
      <c r="K745" t="s">
        <v>74</v>
      </c>
      <c r="L745" t="s">
        <v>74</v>
      </c>
      <c r="M745" t="s">
        <v>77</v>
      </c>
      <c r="N745" t="s">
        <v>153</v>
      </c>
      <c r="O745" t="s">
        <v>74</v>
      </c>
      <c r="P745" t="s">
        <v>74</v>
      </c>
      <c r="Q745" t="s">
        <v>74</v>
      </c>
      <c r="R745" t="s">
        <v>74</v>
      </c>
      <c r="S745" t="s">
        <v>74</v>
      </c>
      <c r="T745" t="s">
        <v>10226</v>
      </c>
      <c r="U745" t="s">
        <v>10227</v>
      </c>
      <c r="V745" t="s">
        <v>10228</v>
      </c>
      <c r="W745" t="s">
        <v>10229</v>
      </c>
      <c r="X745" t="s">
        <v>10230</v>
      </c>
      <c r="Y745" t="s">
        <v>10231</v>
      </c>
      <c r="Z745" t="s">
        <v>74</v>
      </c>
      <c r="AA745" t="s">
        <v>74</v>
      </c>
      <c r="AB745" t="s">
        <v>74</v>
      </c>
      <c r="AC745" t="s">
        <v>74</v>
      </c>
      <c r="AD745" t="s">
        <v>74</v>
      </c>
      <c r="AE745" t="s">
        <v>74</v>
      </c>
      <c r="AF745" t="s">
        <v>74</v>
      </c>
      <c r="AG745">
        <v>21</v>
      </c>
      <c r="AH745">
        <v>7</v>
      </c>
      <c r="AI745">
        <v>7</v>
      </c>
      <c r="AJ745">
        <v>0</v>
      </c>
      <c r="AK745">
        <v>1</v>
      </c>
      <c r="AL745" t="s">
        <v>453</v>
      </c>
      <c r="AM745" t="s">
        <v>454</v>
      </c>
      <c r="AN745" t="s">
        <v>10232</v>
      </c>
      <c r="AO745" t="s">
        <v>10233</v>
      </c>
      <c r="AP745" t="s">
        <v>74</v>
      </c>
      <c r="AQ745" t="s">
        <v>74</v>
      </c>
      <c r="AR745" t="s">
        <v>10234</v>
      </c>
      <c r="AS745" t="s">
        <v>10235</v>
      </c>
      <c r="AT745" t="s">
        <v>74</v>
      </c>
      <c r="AU745">
        <v>2002</v>
      </c>
      <c r="AV745">
        <v>35</v>
      </c>
      <c r="AW745">
        <v>4</v>
      </c>
      <c r="AX745" t="s">
        <v>74</v>
      </c>
      <c r="AY745" t="s">
        <v>74</v>
      </c>
      <c r="AZ745" t="s">
        <v>74</v>
      </c>
      <c r="BA745" t="s">
        <v>74</v>
      </c>
      <c r="BB745">
        <v>221</v>
      </c>
      <c r="BC745">
        <v>233</v>
      </c>
      <c r="BD745" t="s">
        <v>74</v>
      </c>
      <c r="BE745" t="s">
        <v>10236</v>
      </c>
      <c r="BF745" t="str">
        <f>HYPERLINK("http://dx.doi.org/10.1080/1023624021000019306","http://dx.doi.org/10.1080/1023624021000019306")</f>
        <v>http://dx.doi.org/10.1080/1023624021000019306</v>
      </c>
      <c r="BG745" t="s">
        <v>74</v>
      </c>
      <c r="BH745" t="s">
        <v>74</v>
      </c>
      <c r="BI745">
        <v>13</v>
      </c>
      <c r="BJ745" t="s">
        <v>1919</v>
      </c>
      <c r="BK745" t="s">
        <v>170</v>
      </c>
      <c r="BL745" t="s">
        <v>1919</v>
      </c>
      <c r="BM745" t="s">
        <v>10237</v>
      </c>
      <c r="BN745" t="s">
        <v>74</v>
      </c>
      <c r="BO745" t="s">
        <v>74</v>
      </c>
      <c r="BP745" t="s">
        <v>74</v>
      </c>
      <c r="BQ745" t="s">
        <v>74</v>
      </c>
      <c r="BR745" t="s">
        <v>107</v>
      </c>
      <c r="BS745" t="s">
        <v>10238</v>
      </c>
      <c r="BT745" t="str">
        <f>HYPERLINK("https%3A%2F%2Fwww.webofscience.com%2Fwos%2Fwoscc%2Ffull-record%2FWOS:000179633500003","View Full Record in Web of Science")</f>
        <v>View Full Record in Web of Science</v>
      </c>
    </row>
    <row r="746" spans="1:72" x14ac:dyDescent="0.15">
      <c r="A746" t="s">
        <v>72</v>
      </c>
      <c r="B746" t="s">
        <v>10239</v>
      </c>
      <c r="C746" t="s">
        <v>74</v>
      </c>
      <c r="D746" t="s">
        <v>74</v>
      </c>
      <c r="E746" t="s">
        <v>74</v>
      </c>
      <c r="F746" t="s">
        <v>10239</v>
      </c>
      <c r="G746" t="s">
        <v>74</v>
      </c>
      <c r="H746" t="s">
        <v>74</v>
      </c>
      <c r="I746" t="s">
        <v>10240</v>
      </c>
      <c r="J746" t="s">
        <v>10241</v>
      </c>
      <c r="K746" t="s">
        <v>74</v>
      </c>
      <c r="L746" t="s">
        <v>74</v>
      </c>
      <c r="M746" t="s">
        <v>77</v>
      </c>
      <c r="N746" t="s">
        <v>153</v>
      </c>
      <c r="O746" t="s">
        <v>74</v>
      </c>
      <c r="P746" t="s">
        <v>74</v>
      </c>
      <c r="Q746" t="s">
        <v>74</v>
      </c>
      <c r="R746" t="s">
        <v>74</v>
      </c>
      <c r="S746" t="s">
        <v>74</v>
      </c>
      <c r="T746" t="s">
        <v>74</v>
      </c>
      <c r="U746" t="s">
        <v>74</v>
      </c>
      <c r="V746" t="s">
        <v>10242</v>
      </c>
      <c r="W746" t="s">
        <v>10243</v>
      </c>
      <c r="X746" t="s">
        <v>10244</v>
      </c>
      <c r="Y746" t="s">
        <v>10245</v>
      </c>
      <c r="Z746" t="s">
        <v>74</v>
      </c>
      <c r="AA746" t="s">
        <v>10246</v>
      </c>
      <c r="AB746" t="s">
        <v>10247</v>
      </c>
      <c r="AC746" t="s">
        <v>74</v>
      </c>
      <c r="AD746" t="s">
        <v>74</v>
      </c>
      <c r="AE746" t="s">
        <v>74</v>
      </c>
      <c r="AF746" t="s">
        <v>74</v>
      </c>
      <c r="AG746">
        <v>21</v>
      </c>
      <c r="AH746">
        <v>36</v>
      </c>
      <c r="AI746">
        <v>36</v>
      </c>
      <c r="AJ746">
        <v>0</v>
      </c>
      <c r="AK746">
        <v>4</v>
      </c>
      <c r="AL746" t="s">
        <v>2112</v>
      </c>
      <c r="AM746" t="s">
        <v>2113</v>
      </c>
      <c r="AN746" t="s">
        <v>2114</v>
      </c>
      <c r="AO746" t="s">
        <v>10248</v>
      </c>
      <c r="AP746" t="s">
        <v>74</v>
      </c>
      <c r="AQ746" t="s">
        <v>74</v>
      </c>
      <c r="AR746" t="s">
        <v>10249</v>
      </c>
      <c r="AS746" t="s">
        <v>10250</v>
      </c>
      <c r="AT746" t="s">
        <v>74</v>
      </c>
      <c r="AU746">
        <v>2002</v>
      </c>
      <c r="AV746">
        <v>53</v>
      </c>
      <c r="AW746">
        <v>1</v>
      </c>
      <c r="AX746" t="s">
        <v>74</v>
      </c>
      <c r="AY746" t="s">
        <v>74</v>
      </c>
      <c r="AZ746" t="s">
        <v>74</v>
      </c>
      <c r="BA746" t="s">
        <v>74</v>
      </c>
      <c r="BB746">
        <v>49</v>
      </c>
      <c r="BC746">
        <v>57</v>
      </c>
      <c r="BD746" t="s">
        <v>74</v>
      </c>
      <c r="BE746" t="s">
        <v>10251</v>
      </c>
      <c r="BF746" t="str">
        <f>HYPERLINK("http://dx.doi.org/10.1071/MF00075","http://dx.doi.org/10.1071/MF00075")</f>
        <v>http://dx.doi.org/10.1071/MF00075</v>
      </c>
      <c r="BG746" t="s">
        <v>74</v>
      </c>
      <c r="BH746" t="s">
        <v>74</v>
      </c>
      <c r="BI746">
        <v>9</v>
      </c>
      <c r="BJ746" t="s">
        <v>10252</v>
      </c>
      <c r="BK746" t="s">
        <v>170</v>
      </c>
      <c r="BL746" t="s">
        <v>4090</v>
      </c>
      <c r="BM746" t="s">
        <v>10253</v>
      </c>
      <c r="BN746" t="s">
        <v>74</v>
      </c>
      <c r="BO746" t="s">
        <v>74</v>
      </c>
      <c r="BP746" t="s">
        <v>74</v>
      </c>
      <c r="BQ746" t="s">
        <v>74</v>
      </c>
      <c r="BR746" t="s">
        <v>107</v>
      </c>
      <c r="BS746" t="s">
        <v>10254</v>
      </c>
      <c r="BT746" t="str">
        <f>HYPERLINK("https%3A%2F%2Fwww.webofscience.com%2Fwos%2Fwoscc%2Ffull-record%2FWOS:000173571800006","View Full Record in Web of Science")</f>
        <v>View Full Record in Web of Science</v>
      </c>
    </row>
    <row r="747" spans="1:72" x14ac:dyDescent="0.15">
      <c r="A747" t="s">
        <v>72</v>
      </c>
      <c r="B747" t="s">
        <v>10255</v>
      </c>
      <c r="C747" t="s">
        <v>74</v>
      </c>
      <c r="D747" t="s">
        <v>74</v>
      </c>
      <c r="E747" t="s">
        <v>74</v>
      </c>
      <c r="F747" t="s">
        <v>10255</v>
      </c>
      <c r="G747" t="s">
        <v>74</v>
      </c>
      <c r="H747" t="s">
        <v>74</v>
      </c>
      <c r="I747" t="s">
        <v>10256</v>
      </c>
      <c r="J747" t="s">
        <v>10241</v>
      </c>
      <c r="K747" t="s">
        <v>74</v>
      </c>
      <c r="L747" t="s">
        <v>74</v>
      </c>
      <c r="M747" t="s">
        <v>77</v>
      </c>
      <c r="N747" t="s">
        <v>153</v>
      </c>
      <c r="O747" t="s">
        <v>74</v>
      </c>
      <c r="P747" t="s">
        <v>74</v>
      </c>
      <c r="Q747" t="s">
        <v>74</v>
      </c>
      <c r="R747" t="s">
        <v>74</v>
      </c>
      <c r="S747" t="s">
        <v>74</v>
      </c>
      <c r="T747" t="s">
        <v>74</v>
      </c>
      <c r="U747" t="s">
        <v>10257</v>
      </c>
      <c r="V747" t="s">
        <v>10258</v>
      </c>
      <c r="W747" t="s">
        <v>10259</v>
      </c>
      <c r="X747" t="s">
        <v>10260</v>
      </c>
      <c r="Y747" t="s">
        <v>10261</v>
      </c>
      <c r="Z747" t="s">
        <v>74</v>
      </c>
      <c r="AA747" t="s">
        <v>74</v>
      </c>
      <c r="AB747" t="s">
        <v>10262</v>
      </c>
      <c r="AC747" t="s">
        <v>74</v>
      </c>
      <c r="AD747" t="s">
        <v>74</v>
      </c>
      <c r="AE747" t="s">
        <v>74</v>
      </c>
      <c r="AF747" t="s">
        <v>74</v>
      </c>
      <c r="AG747">
        <v>55</v>
      </c>
      <c r="AH747">
        <v>17</v>
      </c>
      <c r="AI747">
        <v>18</v>
      </c>
      <c r="AJ747">
        <v>0</v>
      </c>
      <c r="AK747">
        <v>15</v>
      </c>
      <c r="AL747" t="s">
        <v>2112</v>
      </c>
      <c r="AM747" t="s">
        <v>2113</v>
      </c>
      <c r="AN747" t="s">
        <v>2114</v>
      </c>
      <c r="AO747" t="s">
        <v>10248</v>
      </c>
      <c r="AP747" t="s">
        <v>74</v>
      </c>
      <c r="AQ747" t="s">
        <v>74</v>
      </c>
      <c r="AR747" t="s">
        <v>10249</v>
      </c>
      <c r="AS747" t="s">
        <v>10250</v>
      </c>
      <c r="AT747" t="s">
        <v>74</v>
      </c>
      <c r="AU747">
        <v>2002</v>
      </c>
      <c r="AV747">
        <v>53</v>
      </c>
      <c r="AW747">
        <v>6</v>
      </c>
      <c r="AX747" t="s">
        <v>74</v>
      </c>
      <c r="AY747" t="s">
        <v>74</v>
      </c>
      <c r="AZ747" t="s">
        <v>74</v>
      </c>
      <c r="BA747" t="s">
        <v>74</v>
      </c>
      <c r="BB747">
        <v>1005</v>
      </c>
      <c r="BC747">
        <v>1015</v>
      </c>
      <c r="BD747" t="s">
        <v>74</v>
      </c>
      <c r="BE747" t="s">
        <v>10263</v>
      </c>
      <c r="BF747" t="str">
        <f>HYPERLINK("http://dx.doi.org/10.1071/MF01229","http://dx.doi.org/10.1071/MF01229")</f>
        <v>http://dx.doi.org/10.1071/MF01229</v>
      </c>
      <c r="BG747" t="s">
        <v>74</v>
      </c>
      <c r="BH747" t="s">
        <v>74</v>
      </c>
      <c r="BI747">
        <v>11</v>
      </c>
      <c r="BJ747" t="s">
        <v>10252</v>
      </c>
      <c r="BK747" t="s">
        <v>170</v>
      </c>
      <c r="BL747" t="s">
        <v>4090</v>
      </c>
      <c r="BM747" t="s">
        <v>10264</v>
      </c>
      <c r="BN747" t="s">
        <v>74</v>
      </c>
      <c r="BO747" t="s">
        <v>74</v>
      </c>
      <c r="BP747" t="s">
        <v>74</v>
      </c>
      <c r="BQ747" t="s">
        <v>74</v>
      </c>
      <c r="BR747" t="s">
        <v>107</v>
      </c>
      <c r="BS747" t="s">
        <v>10265</v>
      </c>
      <c r="BT747" t="str">
        <f>HYPERLINK("https%3A%2F%2Fwww.webofscience.com%2Fwos%2Fwoscc%2Ffull-record%2FWOS:000179630000007","View Full Record in Web of Science")</f>
        <v>View Full Record in Web of Science</v>
      </c>
    </row>
    <row r="748" spans="1:72" x14ac:dyDescent="0.15">
      <c r="A748" t="s">
        <v>72</v>
      </c>
      <c r="B748" t="s">
        <v>10266</v>
      </c>
      <c r="C748" t="s">
        <v>74</v>
      </c>
      <c r="D748" t="s">
        <v>74</v>
      </c>
      <c r="E748" t="s">
        <v>74</v>
      </c>
      <c r="F748" t="s">
        <v>10266</v>
      </c>
      <c r="G748" t="s">
        <v>74</v>
      </c>
      <c r="H748" t="s">
        <v>74</v>
      </c>
      <c r="I748" t="s">
        <v>10267</v>
      </c>
      <c r="J748" t="s">
        <v>10241</v>
      </c>
      <c r="K748" t="s">
        <v>74</v>
      </c>
      <c r="L748" t="s">
        <v>74</v>
      </c>
      <c r="M748" t="s">
        <v>77</v>
      </c>
      <c r="N748" t="s">
        <v>153</v>
      </c>
      <c r="O748" t="s">
        <v>74</v>
      </c>
      <c r="P748" t="s">
        <v>74</v>
      </c>
      <c r="Q748" t="s">
        <v>74</v>
      </c>
      <c r="R748" t="s">
        <v>74</v>
      </c>
      <c r="S748" t="s">
        <v>74</v>
      </c>
      <c r="T748" t="s">
        <v>10268</v>
      </c>
      <c r="U748" t="s">
        <v>10269</v>
      </c>
      <c r="V748" t="s">
        <v>10270</v>
      </c>
      <c r="W748" t="s">
        <v>10271</v>
      </c>
      <c r="X748" t="s">
        <v>10272</v>
      </c>
      <c r="Y748" t="s">
        <v>10273</v>
      </c>
      <c r="Z748" t="s">
        <v>10274</v>
      </c>
      <c r="AA748" t="s">
        <v>5518</v>
      </c>
      <c r="AB748" t="s">
        <v>10275</v>
      </c>
      <c r="AC748" t="s">
        <v>74</v>
      </c>
      <c r="AD748" t="s">
        <v>74</v>
      </c>
      <c r="AE748" t="s">
        <v>74</v>
      </c>
      <c r="AF748" t="s">
        <v>74</v>
      </c>
      <c r="AG748">
        <v>60</v>
      </c>
      <c r="AH748">
        <v>51</v>
      </c>
      <c r="AI748">
        <v>57</v>
      </c>
      <c r="AJ748">
        <v>0</v>
      </c>
      <c r="AK748">
        <v>20</v>
      </c>
      <c r="AL748" t="s">
        <v>10276</v>
      </c>
      <c r="AM748" t="s">
        <v>10277</v>
      </c>
      <c r="AN748" t="s">
        <v>10278</v>
      </c>
      <c r="AO748" t="s">
        <v>10248</v>
      </c>
      <c r="AP748" t="s">
        <v>10279</v>
      </c>
      <c r="AQ748" t="s">
        <v>74</v>
      </c>
      <c r="AR748" t="s">
        <v>10249</v>
      </c>
      <c r="AS748" t="s">
        <v>10250</v>
      </c>
      <c r="AT748" t="s">
        <v>74</v>
      </c>
      <c r="AU748">
        <v>2002</v>
      </c>
      <c r="AV748">
        <v>53</v>
      </c>
      <c r="AW748">
        <v>7</v>
      </c>
      <c r="AX748" t="s">
        <v>74</v>
      </c>
      <c r="AY748" t="s">
        <v>74</v>
      </c>
      <c r="AZ748" t="s">
        <v>74</v>
      </c>
      <c r="BA748" t="s">
        <v>74</v>
      </c>
      <c r="BB748">
        <v>1071</v>
      </c>
      <c r="BC748">
        <v>1082</v>
      </c>
      <c r="BD748" t="s">
        <v>74</v>
      </c>
      <c r="BE748" t="s">
        <v>10280</v>
      </c>
      <c r="BF748" t="str">
        <f>HYPERLINK("http://dx.doi.org/10.1071/MF01218","http://dx.doi.org/10.1071/MF01218")</f>
        <v>http://dx.doi.org/10.1071/MF01218</v>
      </c>
      <c r="BG748" t="s">
        <v>74</v>
      </c>
      <c r="BH748" t="s">
        <v>74</v>
      </c>
      <c r="BI748">
        <v>12</v>
      </c>
      <c r="BJ748" t="s">
        <v>10252</v>
      </c>
      <c r="BK748" t="s">
        <v>170</v>
      </c>
      <c r="BL748" t="s">
        <v>4090</v>
      </c>
      <c r="BM748" t="s">
        <v>10281</v>
      </c>
      <c r="BN748" t="s">
        <v>74</v>
      </c>
      <c r="BO748" t="s">
        <v>74</v>
      </c>
      <c r="BP748" t="s">
        <v>74</v>
      </c>
      <c r="BQ748" t="s">
        <v>74</v>
      </c>
      <c r="BR748" t="s">
        <v>107</v>
      </c>
      <c r="BS748" t="s">
        <v>10282</v>
      </c>
      <c r="BT748" t="str">
        <f>HYPERLINK("https%3A%2F%2Fwww.webofscience.com%2Fwos%2Fwoscc%2Ffull-record%2FWOS:000180747900003","View Full Record in Web of Science")</f>
        <v>View Full Record in Web of Science</v>
      </c>
    </row>
    <row r="749" spans="1:72" x14ac:dyDescent="0.15">
      <c r="A749" t="s">
        <v>72</v>
      </c>
      <c r="B749" t="s">
        <v>10283</v>
      </c>
      <c r="C749" t="s">
        <v>74</v>
      </c>
      <c r="D749" t="s">
        <v>74</v>
      </c>
      <c r="E749" t="s">
        <v>74</v>
      </c>
      <c r="F749" t="s">
        <v>10283</v>
      </c>
      <c r="G749" t="s">
        <v>74</v>
      </c>
      <c r="H749" t="s">
        <v>74</v>
      </c>
      <c r="I749" t="s">
        <v>10284</v>
      </c>
      <c r="J749" t="s">
        <v>10241</v>
      </c>
      <c r="K749" t="s">
        <v>74</v>
      </c>
      <c r="L749" t="s">
        <v>74</v>
      </c>
      <c r="M749" t="s">
        <v>77</v>
      </c>
      <c r="N749" t="s">
        <v>153</v>
      </c>
      <c r="O749" t="s">
        <v>74</v>
      </c>
      <c r="P749" t="s">
        <v>74</v>
      </c>
      <c r="Q749" t="s">
        <v>74</v>
      </c>
      <c r="R749" t="s">
        <v>74</v>
      </c>
      <c r="S749" t="s">
        <v>74</v>
      </c>
      <c r="T749" t="s">
        <v>10285</v>
      </c>
      <c r="U749" t="s">
        <v>10286</v>
      </c>
      <c r="V749" t="s">
        <v>10287</v>
      </c>
      <c r="W749" t="s">
        <v>10288</v>
      </c>
      <c r="X749" t="s">
        <v>10289</v>
      </c>
      <c r="Y749" t="s">
        <v>10290</v>
      </c>
      <c r="Z749" t="s">
        <v>10291</v>
      </c>
      <c r="AA749" t="s">
        <v>10292</v>
      </c>
      <c r="AB749" t="s">
        <v>10293</v>
      </c>
      <c r="AC749" t="s">
        <v>74</v>
      </c>
      <c r="AD749" t="s">
        <v>74</v>
      </c>
      <c r="AE749" t="s">
        <v>74</v>
      </c>
      <c r="AF749" t="s">
        <v>74</v>
      </c>
      <c r="AG749">
        <v>41</v>
      </c>
      <c r="AH749">
        <v>11</v>
      </c>
      <c r="AI749">
        <v>11</v>
      </c>
      <c r="AJ749">
        <v>0</v>
      </c>
      <c r="AK749">
        <v>7</v>
      </c>
      <c r="AL749" t="s">
        <v>10276</v>
      </c>
      <c r="AM749" t="s">
        <v>10277</v>
      </c>
      <c r="AN749" t="s">
        <v>10278</v>
      </c>
      <c r="AO749" t="s">
        <v>10248</v>
      </c>
      <c r="AP749" t="s">
        <v>10279</v>
      </c>
      <c r="AQ749" t="s">
        <v>74</v>
      </c>
      <c r="AR749" t="s">
        <v>10249</v>
      </c>
      <c r="AS749" t="s">
        <v>10250</v>
      </c>
      <c r="AT749" t="s">
        <v>74</v>
      </c>
      <c r="AU749">
        <v>2002</v>
      </c>
      <c r="AV749">
        <v>53</v>
      </c>
      <c r="AW749">
        <v>7</v>
      </c>
      <c r="AX749" t="s">
        <v>74</v>
      </c>
      <c r="AY749" t="s">
        <v>74</v>
      </c>
      <c r="AZ749" t="s">
        <v>74</v>
      </c>
      <c r="BA749" t="s">
        <v>74</v>
      </c>
      <c r="BB749">
        <v>1101</v>
      </c>
      <c r="BC749">
        <v>1113</v>
      </c>
      <c r="BD749" t="s">
        <v>74</v>
      </c>
      <c r="BE749" t="s">
        <v>10294</v>
      </c>
      <c r="BF749" t="str">
        <f>HYPERLINK("http://dx.doi.org/10.1071/MF01288","http://dx.doi.org/10.1071/MF01288")</f>
        <v>http://dx.doi.org/10.1071/MF01288</v>
      </c>
      <c r="BG749" t="s">
        <v>74</v>
      </c>
      <c r="BH749" t="s">
        <v>74</v>
      </c>
      <c r="BI749">
        <v>13</v>
      </c>
      <c r="BJ749" t="s">
        <v>10252</v>
      </c>
      <c r="BK749" t="s">
        <v>170</v>
      </c>
      <c r="BL749" t="s">
        <v>4090</v>
      </c>
      <c r="BM749" t="s">
        <v>10281</v>
      </c>
      <c r="BN749" t="s">
        <v>74</v>
      </c>
      <c r="BO749" t="s">
        <v>74</v>
      </c>
      <c r="BP749" t="s">
        <v>74</v>
      </c>
      <c r="BQ749" t="s">
        <v>74</v>
      </c>
      <c r="BR749" t="s">
        <v>107</v>
      </c>
      <c r="BS749" t="s">
        <v>10295</v>
      </c>
      <c r="BT749" t="str">
        <f>HYPERLINK("https%3A%2F%2Fwww.webofscience.com%2Fwos%2Fwoscc%2Ffull-record%2FWOS:000180747900006","View Full Record in Web of Science")</f>
        <v>View Full Record in Web of Science</v>
      </c>
    </row>
    <row r="750" spans="1:72" x14ac:dyDescent="0.15">
      <c r="A750" t="s">
        <v>72</v>
      </c>
      <c r="B750" t="s">
        <v>10296</v>
      </c>
      <c r="C750" t="s">
        <v>74</v>
      </c>
      <c r="D750" t="s">
        <v>74</v>
      </c>
      <c r="E750" t="s">
        <v>74</v>
      </c>
      <c r="F750" t="s">
        <v>10296</v>
      </c>
      <c r="G750" t="s">
        <v>74</v>
      </c>
      <c r="H750" t="s">
        <v>74</v>
      </c>
      <c r="I750" t="s">
        <v>10297</v>
      </c>
      <c r="J750" t="s">
        <v>4290</v>
      </c>
      <c r="K750" t="s">
        <v>74</v>
      </c>
      <c r="L750" t="s">
        <v>74</v>
      </c>
      <c r="M750" t="s">
        <v>77</v>
      </c>
      <c r="N750" t="s">
        <v>153</v>
      </c>
      <c r="O750" t="s">
        <v>74</v>
      </c>
      <c r="P750" t="s">
        <v>74</v>
      </c>
      <c r="Q750" t="s">
        <v>74</v>
      </c>
      <c r="R750" t="s">
        <v>74</v>
      </c>
      <c r="S750" t="s">
        <v>74</v>
      </c>
      <c r="T750" t="s">
        <v>74</v>
      </c>
      <c r="U750" t="s">
        <v>10298</v>
      </c>
      <c r="V750" t="s">
        <v>10299</v>
      </c>
      <c r="W750" t="s">
        <v>10300</v>
      </c>
      <c r="X750" t="s">
        <v>10301</v>
      </c>
      <c r="Y750" t="s">
        <v>10302</v>
      </c>
      <c r="Z750" t="s">
        <v>74</v>
      </c>
      <c r="AA750" t="s">
        <v>10303</v>
      </c>
      <c r="AB750" t="s">
        <v>10304</v>
      </c>
      <c r="AC750" t="s">
        <v>74</v>
      </c>
      <c r="AD750" t="s">
        <v>74</v>
      </c>
      <c r="AE750" t="s">
        <v>74</v>
      </c>
      <c r="AF750" t="s">
        <v>74</v>
      </c>
      <c r="AG750">
        <v>22</v>
      </c>
      <c r="AH750">
        <v>28</v>
      </c>
      <c r="AI750">
        <v>39</v>
      </c>
      <c r="AJ750">
        <v>1</v>
      </c>
      <c r="AK750">
        <v>13</v>
      </c>
      <c r="AL750" t="s">
        <v>290</v>
      </c>
      <c r="AM750" t="s">
        <v>195</v>
      </c>
      <c r="AN750" t="s">
        <v>291</v>
      </c>
      <c r="AO750" t="s">
        <v>4298</v>
      </c>
      <c r="AP750" t="s">
        <v>74</v>
      </c>
      <c r="AQ750" t="s">
        <v>74</v>
      </c>
      <c r="AR750" t="s">
        <v>4300</v>
      </c>
      <c r="AS750" t="s">
        <v>4301</v>
      </c>
      <c r="AT750" t="s">
        <v>7127</v>
      </c>
      <c r="AU750">
        <v>2002</v>
      </c>
      <c r="AV750">
        <v>140</v>
      </c>
      <c r="AW750">
        <v>1</v>
      </c>
      <c r="AX750" t="s">
        <v>74</v>
      </c>
      <c r="AY750" t="s">
        <v>74</v>
      </c>
      <c r="AZ750" t="s">
        <v>74</v>
      </c>
      <c r="BA750" t="s">
        <v>74</v>
      </c>
      <c r="BB750">
        <v>129</v>
      </c>
      <c r="BC750">
        <v>135</v>
      </c>
      <c r="BD750" t="s">
        <v>74</v>
      </c>
      <c r="BE750" t="s">
        <v>10305</v>
      </c>
      <c r="BF750" t="str">
        <f>HYPERLINK("http://dx.doi.org/10.1007/s002270100687","http://dx.doi.org/10.1007/s002270100687")</f>
        <v>http://dx.doi.org/10.1007/s002270100687</v>
      </c>
      <c r="BG750" t="s">
        <v>74</v>
      </c>
      <c r="BH750" t="s">
        <v>74</v>
      </c>
      <c r="BI750">
        <v>7</v>
      </c>
      <c r="BJ750" t="s">
        <v>1919</v>
      </c>
      <c r="BK750" t="s">
        <v>170</v>
      </c>
      <c r="BL750" t="s">
        <v>1919</v>
      </c>
      <c r="BM750" t="s">
        <v>10306</v>
      </c>
      <c r="BN750" t="s">
        <v>74</v>
      </c>
      <c r="BO750" t="s">
        <v>74</v>
      </c>
      <c r="BP750" t="s">
        <v>74</v>
      </c>
      <c r="BQ750" t="s">
        <v>74</v>
      </c>
      <c r="BR750" t="s">
        <v>107</v>
      </c>
      <c r="BS750" t="s">
        <v>10307</v>
      </c>
      <c r="BT750" t="str">
        <f>HYPERLINK("https%3A%2F%2Fwww.webofscience.com%2Fwos%2Fwoscc%2Ffull-record%2FWOS:000174234500012","View Full Record in Web of Science")</f>
        <v>View Full Record in Web of Science</v>
      </c>
    </row>
    <row r="751" spans="1:72" x14ac:dyDescent="0.15">
      <c r="A751" t="s">
        <v>72</v>
      </c>
      <c r="B751" t="s">
        <v>10308</v>
      </c>
      <c r="C751" t="s">
        <v>74</v>
      </c>
      <c r="D751" t="s">
        <v>74</v>
      </c>
      <c r="E751" t="s">
        <v>74</v>
      </c>
      <c r="F751" t="s">
        <v>10308</v>
      </c>
      <c r="G751" t="s">
        <v>74</v>
      </c>
      <c r="H751" t="s">
        <v>74</v>
      </c>
      <c r="I751" t="s">
        <v>10309</v>
      </c>
      <c r="J751" t="s">
        <v>4290</v>
      </c>
      <c r="K751" t="s">
        <v>74</v>
      </c>
      <c r="L751" t="s">
        <v>74</v>
      </c>
      <c r="M751" t="s">
        <v>77</v>
      </c>
      <c r="N751" t="s">
        <v>153</v>
      </c>
      <c r="O751" t="s">
        <v>74</v>
      </c>
      <c r="P751" t="s">
        <v>74</v>
      </c>
      <c r="Q751" t="s">
        <v>74</v>
      </c>
      <c r="R751" t="s">
        <v>74</v>
      </c>
      <c r="S751" t="s">
        <v>74</v>
      </c>
      <c r="T751" t="s">
        <v>74</v>
      </c>
      <c r="U751" t="s">
        <v>10310</v>
      </c>
      <c r="V751" t="s">
        <v>10311</v>
      </c>
      <c r="W751" t="s">
        <v>10312</v>
      </c>
      <c r="X751" t="s">
        <v>10313</v>
      </c>
      <c r="Y751" t="s">
        <v>10314</v>
      </c>
      <c r="Z751" t="s">
        <v>74</v>
      </c>
      <c r="AA751" t="s">
        <v>10315</v>
      </c>
      <c r="AB751" t="s">
        <v>10316</v>
      </c>
      <c r="AC751" t="s">
        <v>74</v>
      </c>
      <c r="AD751" t="s">
        <v>74</v>
      </c>
      <c r="AE751" t="s">
        <v>74</v>
      </c>
      <c r="AF751" t="s">
        <v>74</v>
      </c>
      <c r="AG751">
        <v>27</v>
      </c>
      <c r="AH751">
        <v>33</v>
      </c>
      <c r="AI751">
        <v>35</v>
      </c>
      <c r="AJ751">
        <v>0</v>
      </c>
      <c r="AK751">
        <v>20</v>
      </c>
      <c r="AL751" t="s">
        <v>290</v>
      </c>
      <c r="AM751" t="s">
        <v>195</v>
      </c>
      <c r="AN751" t="s">
        <v>291</v>
      </c>
      <c r="AO751" t="s">
        <v>4298</v>
      </c>
      <c r="AP751" t="s">
        <v>74</v>
      </c>
      <c r="AQ751" t="s">
        <v>74</v>
      </c>
      <c r="AR751" t="s">
        <v>4300</v>
      </c>
      <c r="AS751" t="s">
        <v>4301</v>
      </c>
      <c r="AT751" t="s">
        <v>7127</v>
      </c>
      <c r="AU751">
        <v>2002</v>
      </c>
      <c r="AV751">
        <v>140</v>
      </c>
      <c r="AW751">
        <v>1</v>
      </c>
      <c r="AX751" t="s">
        <v>74</v>
      </c>
      <c r="AY751" t="s">
        <v>74</v>
      </c>
      <c r="AZ751" t="s">
        <v>74</v>
      </c>
      <c r="BA751" t="s">
        <v>74</v>
      </c>
      <c r="BB751">
        <v>197</v>
      </c>
      <c r="BC751">
        <v>204</v>
      </c>
      <c r="BD751" t="s">
        <v>74</v>
      </c>
      <c r="BE751" t="s">
        <v>10317</v>
      </c>
      <c r="BF751" t="str">
        <f>HYPERLINK("http://dx.doi.org/10.1007/s002270100684","http://dx.doi.org/10.1007/s002270100684")</f>
        <v>http://dx.doi.org/10.1007/s002270100684</v>
      </c>
      <c r="BG751" t="s">
        <v>74</v>
      </c>
      <c r="BH751" t="s">
        <v>74</v>
      </c>
      <c r="BI751">
        <v>8</v>
      </c>
      <c r="BJ751" t="s">
        <v>1919</v>
      </c>
      <c r="BK751" t="s">
        <v>170</v>
      </c>
      <c r="BL751" t="s">
        <v>1919</v>
      </c>
      <c r="BM751" t="s">
        <v>10306</v>
      </c>
      <c r="BN751" t="s">
        <v>74</v>
      </c>
      <c r="BO751" t="s">
        <v>74</v>
      </c>
      <c r="BP751" t="s">
        <v>74</v>
      </c>
      <c r="BQ751" t="s">
        <v>74</v>
      </c>
      <c r="BR751" t="s">
        <v>107</v>
      </c>
      <c r="BS751" t="s">
        <v>10318</v>
      </c>
      <c r="BT751" t="str">
        <f>HYPERLINK("https%3A%2F%2Fwww.webofscience.com%2Fwos%2Fwoscc%2Ffull-record%2FWOS:000174234500019","View Full Record in Web of Science")</f>
        <v>View Full Record in Web of Science</v>
      </c>
    </row>
    <row r="752" spans="1:72" x14ac:dyDescent="0.15">
      <c r="A752" t="s">
        <v>72</v>
      </c>
      <c r="B752" t="s">
        <v>10319</v>
      </c>
      <c r="C752" t="s">
        <v>74</v>
      </c>
      <c r="D752" t="s">
        <v>74</v>
      </c>
      <c r="E752" t="s">
        <v>74</v>
      </c>
      <c r="F752" t="s">
        <v>10319</v>
      </c>
      <c r="G752" t="s">
        <v>74</v>
      </c>
      <c r="H752" t="s">
        <v>74</v>
      </c>
      <c r="I752" t="s">
        <v>10320</v>
      </c>
      <c r="J752" t="s">
        <v>4290</v>
      </c>
      <c r="K752" t="s">
        <v>74</v>
      </c>
      <c r="L752" t="s">
        <v>74</v>
      </c>
      <c r="M752" t="s">
        <v>77</v>
      </c>
      <c r="N752" t="s">
        <v>153</v>
      </c>
      <c r="O752" t="s">
        <v>74</v>
      </c>
      <c r="P752" t="s">
        <v>74</v>
      </c>
      <c r="Q752" t="s">
        <v>74</v>
      </c>
      <c r="R752" t="s">
        <v>74</v>
      </c>
      <c r="S752" t="s">
        <v>74</v>
      </c>
      <c r="T752" t="s">
        <v>74</v>
      </c>
      <c r="U752" t="s">
        <v>10321</v>
      </c>
      <c r="V752" t="s">
        <v>10322</v>
      </c>
      <c r="W752" t="s">
        <v>10323</v>
      </c>
      <c r="X752" t="s">
        <v>10324</v>
      </c>
      <c r="Y752" t="s">
        <v>6848</v>
      </c>
      <c r="Z752" t="s">
        <v>10325</v>
      </c>
      <c r="AA752" t="s">
        <v>10326</v>
      </c>
      <c r="AB752" t="s">
        <v>10327</v>
      </c>
      <c r="AC752" t="s">
        <v>74</v>
      </c>
      <c r="AD752" t="s">
        <v>74</v>
      </c>
      <c r="AE752" t="s">
        <v>74</v>
      </c>
      <c r="AF752" t="s">
        <v>74</v>
      </c>
      <c r="AG752">
        <v>40</v>
      </c>
      <c r="AH752">
        <v>60</v>
      </c>
      <c r="AI752">
        <v>72</v>
      </c>
      <c r="AJ752">
        <v>0</v>
      </c>
      <c r="AK752">
        <v>27</v>
      </c>
      <c r="AL752" t="s">
        <v>2732</v>
      </c>
      <c r="AM752" t="s">
        <v>2733</v>
      </c>
      <c r="AN752" t="s">
        <v>2734</v>
      </c>
      <c r="AO752" t="s">
        <v>4298</v>
      </c>
      <c r="AP752" t="s">
        <v>4299</v>
      </c>
      <c r="AQ752" t="s">
        <v>74</v>
      </c>
      <c r="AR752" t="s">
        <v>4300</v>
      </c>
      <c r="AS752" t="s">
        <v>4301</v>
      </c>
      <c r="AT752" t="s">
        <v>74</v>
      </c>
      <c r="AU752">
        <v>2002</v>
      </c>
      <c r="AV752">
        <v>140</v>
      </c>
      <c r="AW752">
        <v>6</v>
      </c>
      <c r="AX752" t="s">
        <v>74</v>
      </c>
      <c r="AY752" t="s">
        <v>74</v>
      </c>
      <c r="AZ752" t="s">
        <v>74</v>
      </c>
      <c r="BA752" t="s">
        <v>74</v>
      </c>
      <c r="BB752">
        <v>1075</v>
      </c>
      <c r="BC752">
        <v>1085</v>
      </c>
      <c r="BD752" t="s">
        <v>74</v>
      </c>
      <c r="BE752" t="s">
        <v>10328</v>
      </c>
      <c r="BF752" t="str">
        <f>HYPERLINK("http://dx.doi.org/10.1007/s00227-002-0786-9","http://dx.doi.org/10.1007/s00227-002-0786-9")</f>
        <v>http://dx.doi.org/10.1007/s00227-002-0786-9</v>
      </c>
      <c r="BG752" t="s">
        <v>74</v>
      </c>
      <c r="BH752" t="s">
        <v>74</v>
      </c>
      <c r="BI752">
        <v>11</v>
      </c>
      <c r="BJ752" t="s">
        <v>1919</v>
      </c>
      <c r="BK752" t="s">
        <v>170</v>
      </c>
      <c r="BL752" t="s">
        <v>1919</v>
      </c>
      <c r="BM752" t="s">
        <v>10329</v>
      </c>
      <c r="BN752" t="s">
        <v>74</v>
      </c>
      <c r="BO752" t="s">
        <v>665</v>
      </c>
      <c r="BP752" t="s">
        <v>74</v>
      </c>
      <c r="BQ752" t="s">
        <v>74</v>
      </c>
      <c r="BR752" t="s">
        <v>107</v>
      </c>
      <c r="BS752" t="s">
        <v>10330</v>
      </c>
      <c r="BT752" t="str">
        <f>HYPERLINK("https%3A%2F%2Fwww.webofscience.com%2Fwos%2Fwoscc%2Ffull-record%2FWOS:000176790700001","View Full Record in Web of Science")</f>
        <v>View Full Record in Web of Science</v>
      </c>
    </row>
    <row r="753" spans="1:72" x14ac:dyDescent="0.15">
      <c r="A753" t="s">
        <v>72</v>
      </c>
      <c r="B753" t="s">
        <v>10331</v>
      </c>
      <c r="C753" t="s">
        <v>74</v>
      </c>
      <c r="D753" t="s">
        <v>74</v>
      </c>
      <c r="E753" t="s">
        <v>74</v>
      </c>
      <c r="F753" t="s">
        <v>10331</v>
      </c>
      <c r="G753" t="s">
        <v>74</v>
      </c>
      <c r="H753" t="s">
        <v>74</v>
      </c>
      <c r="I753" t="s">
        <v>10332</v>
      </c>
      <c r="J753" t="s">
        <v>4290</v>
      </c>
      <c r="K753" t="s">
        <v>74</v>
      </c>
      <c r="L753" t="s">
        <v>74</v>
      </c>
      <c r="M753" t="s">
        <v>77</v>
      </c>
      <c r="N753" t="s">
        <v>153</v>
      </c>
      <c r="O753" t="s">
        <v>74</v>
      </c>
      <c r="P753" t="s">
        <v>74</v>
      </c>
      <c r="Q753" t="s">
        <v>74</v>
      </c>
      <c r="R753" t="s">
        <v>74</v>
      </c>
      <c r="S753" t="s">
        <v>74</v>
      </c>
      <c r="T753" t="s">
        <v>74</v>
      </c>
      <c r="U753" t="s">
        <v>10333</v>
      </c>
      <c r="V753" t="s">
        <v>10334</v>
      </c>
      <c r="W753" t="s">
        <v>10335</v>
      </c>
      <c r="X753" t="s">
        <v>10336</v>
      </c>
      <c r="Y753" t="s">
        <v>10337</v>
      </c>
      <c r="Z753" t="s">
        <v>74</v>
      </c>
      <c r="AA753" t="s">
        <v>10338</v>
      </c>
      <c r="AB753" t="s">
        <v>10339</v>
      </c>
      <c r="AC753" t="s">
        <v>74</v>
      </c>
      <c r="AD753" t="s">
        <v>74</v>
      </c>
      <c r="AE753" t="s">
        <v>74</v>
      </c>
      <c r="AF753" t="s">
        <v>74</v>
      </c>
      <c r="AG753">
        <v>62</v>
      </c>
      <c r="AH753">
        <v>39</v>
      </c>
      <c r="AI753">
        <v>44</v>
      </c>
      <c r="AJ753">
        <v>0</v>
      </c>
      <c r="AK753">
        <v>23</v>
      </c>
      <c r="AL753" t="s">
        <v>290</v>
      </c>
      <c r="AM753" t="s">
        <v>195</v>
      </c>
      <c r="AN753" t="s">
        <v>291</v>
      </c>
      <c r="AO753" t="s">
        <v>4298</v>
      </c>
      <c r="AP753" t="s">
        <v>74</v>
      </c>
      <c r="AQ753" t="s">
        <v>74</v>
      </c>
      <c r="AR753" t="s">
        <v>4300</v>
      </c>
      <c r="AS753" t="s">
        <v>4301</v>
      </c>
      <c r="AT753" t="s">
        <v>74</v>
      </c>
      <c r="AU753">
        <v>2002</v>
      </c>
      <c r="AV753">
        <v>140</v>
      </c>
      <c r="AW753">
        <v>6</v>
      </c>
      <c r="AX753" t="s">
        <v>74</v>
      </c>
      <c r="AY753" t="s">
        <v>74</v>
      </c>
      <c r="AZ753" t="s">
        <v>74</v>
      </c>
      <c r="BA753" t="s">
        <v>74</v>
      </c>
      <c r="BB753">
        <v>1097</v>
      </c>
      <c r="BC753">
        <v>1106</v>
      </c>
      <c r="BD753" t="s">
        <v>74</v>
      </c>
      <c r="BE753" t="s">
        <v>10340</v>
      </c>
      <c r="BF753" t="str">
        <f>HYPERLINK("http://dx.doi.org/10.1007/s00227-002-0795-8","http://dx.doi.org/10.1007/s00227-002-0795-8")</f>
        <v>http://dx.doi.org/10.1007/s00227-002-0795-8</v>
      </c>
      <c r="BG753" t="s">
        <v>74</v>
      </c>
      <c r="BH753" t="s">
        <v>74</v>
      </c>
      <c r="BI753">
        <v>10</v>
      </c>
      <c r="BJ753" t="s">
        <v>1919</v>
      </c>
      <c r="BK753" t="s">
        <v>170</v>
      </c>
      <c r="BL753" t="s">
        <v>1919</v>
      </c>
      <c r="BM753" t="s">
        <v>10329</v>
      </c>
      <c r="BN753" t="s">
        <v>74</v>
      </c>
      <c r="BO753" t="s">
        <v>74</v>
      </c>
      <c r="BP753" t="s">
        <v>74</v>
      </c>
      <c r="BQ753" t="s">
        <v>74</v>
      </c>
      <c r="BR753" t="s">
        <v>107</v>
      </c>
      <c r="BS753" t="s">
        <v>10341</v>
      </c>
      <c r="BT753" t="str">
        <f>HYPERLINK("https%3A%2F%2Fwww.webofscience.com%2Fwos%2Fwoscc%2Ffull-record%2FWOS:000176790700003","View Full Record in Web of Science")</f>
        <v>View Full Record in Web of Science</v>
      </c>
    </row>
    <row r="754" spans="1:72" x14ac:dyDescent="0.15">
      <c r="A754" t="s">
        <v>72</v>
      </c>
      <c r="B754" t="s">
        <v>10342</v>
      </c>
      <c r="C754" t="s">
        <v>74</v>
      </c>
      <c r="D754" t="s">
        <v>74</v>
      </c>
      <c r="E754" t="s">
        <v>74</v>
      </c>
      <c r="F754" t="s">
        <v>10342</v>
      </c>
      <c r="G754" t="s">
        <v>74</v>
      </c>
      <c r="H754" t="s">
        <v>74</v>
      </c>
      <c r="I754" t="s">
        <v>10343</v>
      </c>
      <c r="J754" t="s">
        <v>4290</v>
      </c>
      <c r="K754" t="s">
        <v>74</v>
      </c>
      <c r="L754" t="s">
        <v>74</v>
      </c>
      <c r="M754" t="s">
        <v>77</v>
      </c>
      <c r="N754" t="s">
        <v>153</v>
      </c>
      <c r="O754" t="s">
        <v>74</v>
      </c>
      <c r="P754" t="s">
        <v>74</v>
      </c>
      <c r="Q754" t="s">
        <v>74</v>
      </c>
      <c r="R754" t="s">
        <v>74</v>
      </c>
      <c r="S754" t="s">
        <v>74</v>
      </c>
      <c r="T754" t="s">
        <v>74</v>
      </c>
      <c r="U754" t="s">
        <v>10344</v>
      </c>
      <c r="V754" t="s">
        <v>10345</v>
      </c>
      <c r="W754" t="s">
        <v>3174</v>
      </c>
      <c r="X754" t="s">
        <v>2368</v>
      </c>
      <c r="Y754" t="s">
        <v>10346</v>
      </c>
      <c r="Z754" t="s">
        <v>74</v>
      </c>
      <c r="AA754" t="s">
        <v>10347</v>
      </c>
      <c r="AB754" t="s">
        <v>10339</v>
      </c>
      <c r="AC754" t="s">
        <v>74</v>
      </c>
      <c r="AD754" t="s">
        <v>74</v>
      </c>
      <c r="AE754" t="s">
        <v>74</v>
      </c>
      <c r="AF754" t="s">
        <v>74</v>
      </c>
      <c r="AG754">
        <v>69</v>
      </c>
      <c r="AH754">
        <v>59</v>
      </c>
      <c r="AI754">
        <v>72</v>
      </c>
      <c r="AJ754">
        <v>0</v>
      </c>
      <c r="AK754">
        <v>17</v>
      </c>
      <c r="AL754" t="s">
        <v>290</v>
      </c>
      <c r="AM754" t="s">
        <v>195</v>
      </c>
      <c r="AN754" t="s">
        <v>291</v>
      </c>
      <c r="AO754" t="s">
        <v>4298</v>
      </c>
      <c r="AP754" t="s">
        <v>74</v>
      </c>
      <c r="AQ754" t="s">
        <v>74</v>
      </c>
      <c r="AR754" t="s">
        <v>4300</v>
      </c>
      <c r="AS754" t="s">
        <v>4301</v>
      </c>
      <c r="AT754" t="s">
        <v>74</v>
      </c>
      <c r="AU754">
        <v>2002</v>
      </c>
      <c r="AV754">
        <v>140</v>
      </c>
      <c r="AW754">
        <v>6</v>
      </c>
      <c r="AX754" t="s">
        <v>74</v>
      </c>
      <c r="AY754" t="s">
        <v>74</v>
      </c>
      <c r="AZ754" t="s">
        <v>74</v>
      </c>
      <c r="BA754" t="s">
        <v>74</v>
      </c>
      <c r="BB754">
        <v>1117</v>
      </c>
      <c r="BC754">
        <v>1127</v>
      </c>
      <c r="BD754" t="s">
        <v>74</v>
      </c>
      <c r="BE754" t="s">
        <v>10348</v>
      </c>
      <c r="BF754" t="str">
        <f>HYPERLINK("http://dx.doi.org/10.1007/s00227-002-0791-z","http://dx.doi.org/10.1007/s00227-002-0791-z")</f>
        <v>http://dx.doi.org/10.1007/s00227-002-0791-z</v>
      </c>
      <c r="BG754" t="s">
        <v>74</v>
      </c>
      <c r="BH754" t="s">
        <v>74</v>
      </c>
      <c r="BI754">
        <v>11</v>
      </c>
      <c r="BJ754" t="s">
        <v>1919</v>
      </c>
      <c r="BK754" t="s">
        <v>170</v>
      </c>
      <c r="BL754" t="s">
        <v>1919</v>
      </c>
      <c r="BM754" t="s">
        <v>10329</v>
      </c>
      <c r="BN754" t="s">
        <v>74</v>
      </c>
      <c r="BO754" t="s">
        <v>74</v>
      </c>
      <c r="BP754" t="s">
        <v>74</v>
      </c>
      <c r="BQ754" t="s">
        <v>74</v>
      </c>
      <c r="BR754" t="s">
        <v>107</v>
      </c>
      <c r="BS754" t="s">
        <v>10349</v>
      </c>
      <c r="BT754" t="str">
        <f>HYPERLINK("https%3A%2F%2Fwww.webofscience.com%2Fwos%2Fwoscc%2Ffull-record%2FWOS:000176790700005","View Full Record in Web of Science")</f>
        <v>View Full Record in Web of Science</v>
      </c>
    </row>
    <row r="755" spans="1:72" x14ac:dyDescent="0.15">
      <c r="A755" t="s">
        <v>72</v>
      </c>
      <c r="B755" t="s">
        <v>10350</v>
      </c>
      <c r="C755" t="s">
        <v>74</v>
      </c>
      <c r="D755" t="s">
        <v>74</v>
      </c>
      <c r="E755" t="s">
        <v>74</v>
      </c>
      <c r="F755" t="s">
        <v>10350</v>
      </c>
      <c r="G755" t="s">
        <v>74</v>
      </c>
      <c r="H755" t="s">
        <v>74</v>
      </c>
      <c r="I755" t="s">
        <v>10351</v>
      </c>
      <c r="J755" t="s">
        <v>10352</v>
      </c>
      <c r="K755" t="s">
        <v>74</v>
      </c>
      <c r="L755" t="s">
        <v>74</v>
      </c>
      <c r="M755" t="s">
        <v>77</v>
      </c>
      <c r="N755" t="s">
        <v>153</v>
      </c>
      <c r="O755" t="s">
        <v>74</v>
      </c>
      <c r="P755" t="s">
        <v>74</v>
      </c>
      <c r="Q755" t="s">
        <v>74</v>
      </c>
      <c r="R755" t="s">
        <v>74</v>
      </c>
      <c r="S755" t="s">
        <v>74</v>
      </c>
      <c r="T755" t="s">
        <v>10353</v>
      </c>
      <c r="U755" t="s">
        <v>10354</v>
      </c>
      <c r="V755" t="s">
        <v>10355</v>
      </c>
      <c r="W755" t="s">
        <v>10356</v>
      </c>
      <c r="X755" t="s">
        <v>1164</v>
      </c>
      <c r="Y755" t="s">
        <v>10357</v>
      </c>
      <c r="Z755" t="s">
        <v>10358</v>
      </c>
      <c r="AA755" t="s">
        <v>74</v>
      </c>
      <c r="AB755" t="s">
        <v>74</v>
      </c>
      <c r="AC755" t="s">
        <v>74</v>
      </c>
      <c r="AD755" t="s">
        <v>74</v>
      </c>
      <c r="AE755" t="s">
        <v>74</v>
      </c>
      <c r="AF755" t="s">
        <v>74</v>
      </c>
      <c r="AG755">
        <v>86</v>
      </c>
      <c r="AH755">
        <v>16</v>
      </c>
      <c r="AI755">
        <v>18</v>
      </c>
      <c r="AJ755">
        <v>0</v>
      </c>
      <c r="AK755">
        <v>8</v>
      </c>
      <c r="AL755" t="s">
        <v>523</v>
      </c>
      <c r="AM755" t="s">
        <v>524</v>
      </c>
      <c r="AN755" t="s">
        <v>525</v>
      </c>
      <c r="AO755" t="s">
        <v>10359</v>
      </c>
      <c r="AP755" t="s">
        <v>10360</v>
      </c>
      <c r="AQ755" t="s">
        <v>74</v>
      </c>
      <c r="AR755" t="s">
        <v>10361</v>
      </c>
      <c r="AS755" t="s">
        <v>10362</v>
      </c>
      <c r="AT755" t="s">
        <v>74</v>
      </c>
      <c r="AU755">
        <v>2002</v>
      </c>
      <c r="AV755">
        <v>245</v>
      </c>
      <c r="AW755" t="s">
        <v>74</v>
      </c>
      <c r="AX755" t="s">
        <v>74</v>
      </c>
      <c r="AY755" t="s">
        <v>74</v>
      </c>
      <c r="AZ755" t="s">
        <v>74</v>
      </c>
      <c r="BA755" t="s">
        <v>74</v>
      </c>
      <c r="BB755">
        <v>133</v>
      </c>
      <c r="BC755">
        <v>148</v>
      </c>
      <c r="BD755" t="s">
        <v>74</v>
      </c>
      <c r="BE755" t="s">
        <v>10363</v>
      </c>
      <c r="BF755" t="str">
        <f>HYPERLINK("http://dx.doi.org/10.3354/meps245133","http://dx.doi.org/10.3354/meps245133")</f>
        <v>http://dx.doi.org/10.3354/meps245133</v>
      </c>
      <c r="BG755" t="s">
        <v>74</v>
      </c>
      <c r="BH755" t="s">
        <v>74</v>
      </c>
      <c r="BI755">
        <v>16</v>
      </c>
      <c r="BJ755" t="s">
        <v>10364</v>
      </c>
      <c r="BK755" t="s">
        <v>170</v>
      </c>
      <c r="BL755" t="s">
        <v>10365</v>
      </c>
      <c r="BM755" t="s">
        <v>10366</v>
      </c>
      <c r="BN755" t="s">
        <v>74</v>
      </c>
      <c r="BO755" t="s">
        <v>173</v>
      </c>
      <c r="BP755" t="s">
        <v>74</v>
      </c>
      <c r="BQ755" t="s">
        <v>74</v>
      </c>
      <c r="BR755" t="s">
        <v>107</v>
      </c>
      <c r="BS755" t="s">
        <v>10367</v>
      </c>
      <c r="BT755" t="str">
        <f>HYPERLINK("https%3A%2F%2Fwww.webofscience.com%2Fwos%2Fwoscc%2Ffull-record%2FWOS:000180531300013","View Full Record in Web of Science")</f>
        <v>View Full Record in Web of Science</v>
      </c>
    </row>
    <row r="756" spans="1:72" x14ac:dyDescent="0.15">
      <c r="A756" t="s">
        <v>72</v>
      </c>
      <c r="B756" t="s">
        <v>10368</v>
      </c>
      <c r="C756" t="s">
        <v>74</v>
      </c>
      <c r="D756" t="s">
        <v>74</v>
      </c>
      <c r="E756" t="s">
        <v>74</v>
      </c>
      <c r="F756" t="s">
        <v>10368</v>
      </c>
      <c r="G756" t="s">
        <v>74</v>
      </c>
      <c r="H756" t="s">
        <v>74</v>
      </c>
      <c r="I756" t="s">
        <v>10369</v>
      </c>
      <c r="J756" t="s">
        <v>10352</v>
      </c>
      <c r="K756" t="s">
        <v>74</v>
      </c>
      <c r="L756" t="s">
        <v>74</v>
      </c>
      <c r="M756" t="s">
        <v>77</v>
      </c>
      <c r="N756" t="s">
        <v>153</v>
      </c>
      <c r="O756" t="s">
        <v>74</v>
      </c>
      <c r="P756" t="s">
        <v>74</v>
      </c>
      <c r="Q756" t="s">
        <v>74</v>
      </c>
      <c r="R756" t="s">
        <v>74</v>
      </c>
      <c r="S756" t="s">
        <v>74</v>
      </c>
      <c r="T756" t="s">
        <v>10370</v>
      </c>
      <c r="U756" t="s">
        <v>10371</v>
      </c>
      <c r="V756" t="s">
        <v>10372</v>
      </c>
      <c r="W756" t="s">
        <v>10373</v>
      </c>
      <c r="X756" t="s">
        <v>10374</v>
      </c>
      <c r="Y756" t="s">
        <v>10273</v>
      </c>
      <c r="Z756" t="s">
        <v>4424</v>
      </c>
      <c r="AA756" t="s">
        <v>10375</v>
      </c>
      <c r="AB756" t="s">
        <v>10376</v>
      </c>
      <c r="AC756" t="s">
        <v>74</v>
      </c>
      <c r="AD756" t="s">
        <v>74</v>
      </c>
      <c r="AE756" t="s">
        <v>74</v>
      </c>
      <c r="AF756" t="s">
        <v>74</v>
      </c>
      <c r="AG756">
        <v>99</v>
      </c>
      <c r="AH756">
        <v>88</v>
      </c>
      <c r="AI756">
        <v>97</v>
      </c>
      <c r="AJ756">
        <v>0</v>
      </c>
      <c r="AK756">
        <v>13</v>
      </c>
      <c r="AL756" t="s">
        <v>523</v>
      </c>
      <c r="AM756" t="s">
        <v>524</v>
      </c>
      <c r="AN756" t="s">
        <v>525</v>
      </c>
      <c r="AO756" t="s">
        <v>10359</v>
      </c>
      <c r="AP756" t="s">
        <v>10360</v>
      </c>
      <c r="AQ756" t="s">
        <v>74</v>
      </c>
      <c r="AR756" t="s">
        <v>10361</v>
      </c>
      <c r="AS756" t="s">
        <v>10362</v>
      </c>
      <c r="AT756" t="s">
        <v>74</v>
      </c>
      <c r="AU756">
        <v>2002</v>
      </c>
      <c r="AV756">
        <v>245</v>
      </c>
      <c r="AW756" t="s">
        <v>74</v>
      </c>
      <c r="AX756" t="s">
        <v>74</v>
      </c>
      <c r="AY756" t="s">
        <v>74</v>
      </c>
      <c r="AZ756" t="s">
        <v>74</v>
      </c>
      <c r="BA756" t="s">
        <v>74</v>
      </c>
      <c r="BB756">
        <v>281</v>
      </c>
      <c r="BC756">
        <v>297</v>
      </c>
      <c r="BD756" t="s">
        <v>74</v>
      </c>
      <c r="BE756" t="s">
        <v>10377</v>
      </c>
      <c r="BF756" t="str">
        <f>HYPERLINK("http://dx.doi.org/10.3354/meps245281","http://dx.doi.org/10.3354/meps245281")</f>
        <v>http://dx.doi.org/10.3354/meps245281</v>
      </c>
      <c r="BG756" t="s">
        <v>74</v>
      </c>
      <c r="BH756" t="s">
        <v>74</v>
      </c>
      <c r="BI756">
        <v>17</v>
      </c>
      <c r="BJ756" t="s">
        <v>10364</v>
      </c>
      <c r="BK756" t="s">
        <v>170</v>
      </c>
      <c r="BL756" t="s">
        <v>10365</v>
      </c>
      <c r="BM756" t="s">
        <v>10366</v>
      </c>
      <c r="BN756" t="s">
        <v>74</v>
      </c>
      <c r="BO756" t="s">
        <v>10378</v>
      </c>
      <c r="BP756" t="s">
        <v>74</v>
      </c>
      <c r="BQ756" t="s">
        <v>74</v>
      </c>
      <c r="BR756" t="s">
        <v>107</v>
      </c>
      <c r="BS756" t="s">
        <v>10379</v>
      </c>
      <c r="BT756" t="str">
        <f>HYPERLINK("https%3A%2F%2Fwww.webofscience.com%2Fwos%2Fwoscc%2Ffull-record%2FWOS:000180531300026","View Full Record in Web of Science")</f>
        <v>View Full Record in Web of Science</v>
      </c>
    </row>
    <row r="757" spans="1:72" x14ac:dyDescent="0.15">
      <c r="A757" t="s">
        <v>72</v>
      </c>
      <c r="B757" t="s">
        <v>10380</v>
      </c>
      <c r="C757" t="s">
        <v>74</v>
      </c>
      <c r="D757" t="s">
        <v>74</v>
      </c>
      <c r="E757" t="s">
        <v>74</v>
      </c>
      <c r="F757" t="s">
        <v>10380</v>
      </c>
      <c r="G757" t="s">
        <v>74</v>
      </c>
      <c r="H757" t="s">
        <v>74</v>
      </c>
      <c r="I757" t="s">
        <v>10381</v>
      </c>
      <c r="J757" t="s">
        <v>10352</v>
      </c>
      <c r="K757" t="s">
        <v>74</v>
      </c>
      <c r="L757" t="s">
        <v>74</v>
      </c>
      <c r="M757" t="s">
        <v>77</v>
      </c>
      <c r="N757" t="s">
        <v>153</v>
      </c>
      <c r="O757" t="s">
        <v>74</v>
      </c>
      <c r="P757" t="s">
        <v>74</v>
      </c>
      <c r="Q757" t="s">
        <v>74</v>
      </c>
      <c r="R757" t="s">
        <v>74</v>
      </c>
      <c r="S757" t="s">
        <v>74</v>
      </c>
      <c r="T757" t="s">
        <v>10382</v>
      </c>
      <c r="U757" t="s">
        <v>10383</v>
      </c>
      <c r="V757" t="s">
        <v>10384</v>
      </c>
      <c r="W757" t="s">
        <v>10385</v>
      </c>
      <c r="X757" t="s">
        <v>10386</v>
      </c>
      <c r="Y757" t="s">
        <v>10387</v>
      </c>
      <c r="Z757" t="s">
        <v>10388</v>
      </c>
      <c r="AA757" t="s">
        <v>10389</v>
      </c>
      <c r="AB757" t="s">
        <v>10390</v>
      </c>
      <c r="AC757" t="s">
        <v>74</v>
      </c>
      <c r="AD757" t="s">
        <v>74</v>
      </c>
      <c r="AE757" t="s">
        <v>74</v>
      </c>
      <c r="AF757" t="s">
        <v>74</v>
      </c>
      <c r="AG757">
        <v>64</v>
      </c>
      <c r="AH757">
        <v>129</v>
      </c>
      <c r="AI757">
        <v>151</v>
      </c>
      <c r="AJ757">
        <v>2</v>
      </c>
      <c r="AK757">
        <v>61</v>
      </c>
      <c r="AL757" t="s">
        <v>523</v>
      </c>
      <c r="AM757" t="s">
        <v>524</v>
      </c>
      <c r="AN757" t="s">
        <v>525</v>
      </c>
      <c r="AO757" t="s">
        <v>10359</v>
      </c>
      <c r="AP757" t="s">
        <v>74</v>
      </c>
      <c r="AQ757" t="s">
        <v>74</v>
      </c>
      <c r="AR757" t="s">
        <v>10361</v>
      </c>
      <c r="AS757" t="s">
        <v>10362</v>
      </c>
      <c r="AT757" t="s">
        <v>74</v>
      </c>
      <c r="AU757">
        <v>2002</v>
      </c>
      <c r="AV757">
        <v>244</v>
      </c>
      <c r="AW757" t="s">
        <v>74</v>
      </c>
      <c r="AX757" t="s">
        <v>74</v>
      </c>
      <c r="AY757" t="s">
        <v>74</v>
      </c>
      <c r="AZ757" t="s">
        <v>74</v>
      </c>
      <c r="BA757" t="s">
        <v>74</v>
      </c>
      <c r="BB757">
        <v>1</v>
      </c>
      <c r="BC757">
        <v>15</v>
      </c>
      <c r="BD757" t="s">
        <v>74</v>
      </c>
      <c r="BE757" t="s">
        <v>10391</v>
      </c>
      <c r="BF757" t="str">
        <f>HYPERLINK("http://dx.doi.org/10.3354/meps244001","http://dx.doi.org/10.3354/meps244001")</f>
        <v>http://dx.doi.org/10.3354/meps244001</v>
      </c>
      <c r="BG757" t="s">
        <v>74</v>
      </c>
      <c r="BH757" t="s">
        <v>74</v>
      </c>
      <c r="BI757">
        <v>15</v>
      </c>
      <c r="BJ757" t="s">
        <v>10364</v>
      </c>
      <c r="BK757" t="s">
        <v>170</v>
      </c>
      <c r="BL757" t="s">
        <v>10365</v>
      </c>
      <c r="BM757" t="s">
        <v>10392</v>
      </c>
      <c r="BN757" t="s">
        <v>74</v>
      </c>
      <c r="BO757" t="s">
        <v>173</v>
      </c>
      <c r="BP757" t="s">
        <v>74</v>
      </c>
      <c r="BQ757" t="s">
        <v>74</v>
      </c>
      <c r="BR757" t="s">
        <v>107</v>
      </c>
      <c r="BS757" t="s">
        <v>10393</v>
      </c>
      <c r="BT757" t="str">
        <f>HYPERLINK("https%3A%2F%2Fwww.webofscience.com%2Fwos%2Fwoscc%2Ffull-record%2FWOS:000180374300001","View Full Record in Web of Science")</f>
        <v>View Full Record in Web of Science</v>
      </c>
    </row>
    <row r="758" spans="1:72" x14ac:dyDescent="0.15">
      <c r="A758" t="s">
        <v>72</v>
      </c>
      <c r="B758" t="s">
        <v>10394</v>
      </c>
      <c r="C758" t="s">
        <v>74</v>
      </c>
      <c r="D758" t="s">
        <v>74</v>
      </c>
      <c r="E758" t="s">
        <v>74</v>
      </c>
      <c r="F758" t="s">
        <v>10394</v>
      </c>
      <c r="G758" t="s">
        <v>74</v>
      </c>
      <c r="H758" t="s">
        <v>74</v>
      </c>
      <c r="I758" t="s">
        <v>10395</v>
      </c>
      <c r="J758" t="s">
        <v>10352</v>
      </c>
      <c r="K758" t="s">
        <v>74</v>
      </c>
      <c r="L758" t="s">
        <v>74</v>
      </c>
      <c r="M758" t="s">
        <v>77</v>
      </c>
      <c r="N758" t="s">
        <v>153</v>
      </c>
      <c r="O758" t="s">
        <v>74</v>
      </c>
      <c r="P758" t="s">
        <v>74</v>
      </c>
      <c r="Q758" t="s">
        <v>74</v>
      </c>
      <c r="R758" t="s">
        <v>74</v>
      </c>
      <c r="S758" t="s">
        <v>74</v>
      </c>
      <c r="T758" t="s">
        <v>10396</v>
      </c>
      <c r="U758" t="s">
        <v>10397</v>
      </c>
      <c r="V758" t="s">
        <v>10398</v>
      </c>
      <c r="W758" t="s">
        <v>10399</v>
      </c>
      <c r="X758" t="s">
        <v>10400</v>
      </c>
      <c r="Y758" t="s">
        <v>10401</v>
      </c>
      <c r="Z758" t="s">
        <v>10402</v>
      </c>
      <c r="AA758" t="s">
        <v>10403</v>
      </c>
      <c r="AB758" t="s">
        <v>10404</v>
      </c>
      <c r="AC758" t="s">
        <v>74</v>
      </c>
      <c r="AD758" t="s">
        <v>74</v>
      </c>
      <c r="AE758" t="s">
        <v>74</v>
      </c>
      <c r="AF758" t="s">
        <v>74</v>
      </c>
      <c r="AG758">
        <v>54</v>
      </c>
      <c r="AH758">
        <v>177</v>
      </c>
      <c r="AI758">
        <v>200</v>
      </c>
      <c r="AJ758">
        <v>7</v>
      </c>
      <c r="AK758">
        <v>84</v>
      </c>
      <c r="AL758" t="s">
        <v>523</v>
      </c>
      <c r="AM758" t="s">
        <v>524</v>
      </c>
      <c r="AN758" t="s">
        <v>525</v>
      </c>
      <c r="AO758" t="s">
        <v>10359</v>
      </c>
      <c r="AP758" t="s">
        <v>10360</v>
      </c>
      <c r="AQ758" t="s">
        <v>74</v>
      </c>
      <c r="AR758" t="s">
        <v>10361</v>
      </c>
      <c r="AS758" t="s">
        <v>10362</v>
      </c>
      <c r="AT758" t="s">
        <v>74</v>
      </c>
      <c r="AU758">
        <v>2002</v>
      </c>
      <c r="AV758">
        <v>244</v>
      </c>
      <c r="AW758" t="s">
        <v>74</v>
      </c>
      <c r="AX758" t="s">
        <v>74</v>
      </c>
      <c r="AY758" t="s">
        <v>74</v>
      </c>
      <c r="AZ758" t="s">
        <v>74</v>
      </c>
      <c r="BA758" t="s">
        <v>74</v>
      </c>
      <c r="BB758">
        <v>235</v>
      </c>
      <c r="BC758">
        <v>245</v>
      </c>
      <c r="BD758" t="s">
        <v>74</v>
      </c>
      <c r="BE758" t="s">
        <v>10405</v>
      </c>
      <c r="BF758" t="str">
        <f>HYPERLINK("http://dx.doi.org/10.3354/meps244235","http://dx.doi.org/10.3354/meps244235")</f>
        <v>http://dx.doi.org/10.3354/meps244235</v>
      </c>
      <c r="BG758" t="s">
        <v>74</v>
      </c>
      <c r="BH758" t="s">
        <v>74</v>
      </c>
      <c r="BI758">
        <v>11</v>
      </c>
      <c r="BJ758" t="s">
        <v>10364</v>
      </c>
      <c r="BK758" t="s">
        <v>170</v>
      </c>
      <c r="BL758" t="s">
        <v>10365</v>
      </c>
      <c r="BM758" t="s">
        <v>10392</v>
      </c>
      <c r="BN758" t="s">
        <v>74</v>
      </c>
      <c r="BO758" t="s">
        <v>173</v>
      </c>
      <c r="BP758" t="s">
        <v>74</v>
      </c>
      <c r="BQ758" t="s">
        <v>74</v>
      </c>
      <c r="BR758" t="s">
        <v>107</v>
      </c>
      <c r="BS758" t="s">
        <v>10406</v>
      </c>
      <c r="BT758" t="str">
        <f>HYPERLINK("https%3A%2F%2Fwww.webofscience.com%2Fwos%2Fwoscc%2Ffull-record%2FWOS:000180374300021","View Full Record in Web of Science")</f>
        <v>View Full Record in Web of Science</v>
      </c>
    </row>
    <row r="759" spans="1:72" x14ac:dyDescent="0.15">
      <c r="A759" t="s">
        <v>72</v>
      </c>
      <c r="B759" t="s">
        <v>10407</v>
      </c>
      <c r="C759" t="s">
        <v>74</v>
      </c>
      <c r="D759" t="s">
        <v>74</v>
      </c>
      <c r="E759" t="s">
        <v>74</v>
      </c>
      <c r="F759" t="s">
        <v>10407</v>
      </c>
      <c r="G759" t="s">
        <v>74</v>
      </c>
      <c r="H759" t="s">
        <v>74</v>
      </c>
      <c r="I759" t="s">
        <v>10408</v>
      </c>
      <c r="J759" t="s">
        <v>10352</v>
      </c>
      <c r="K759" t="s">
        <v>74</v>
      </c>
      <c r="L759" t="s">
        <v>74</v>
      </c>
      <c r="M759" t="s">
        <v>77</v>
      </c>
      <c r="N759" t="s">
        <v>153</v>
      </c>
      <c r="O759" t="s">
        <v>74</v>
      </c>
      <c r="P759" t="s">
        <v>74</v>
      </c>
      <c r="Q759" t="s">
        <v>74</v>
      </c>
      <c r="R759" t="s">
        <v>74</v>
      </c>
      <c r="S759" t="s">
        <v>74</v>
      </c>
      <c r="T759" t="s">
        <v>10409</v>
      </c>
      <c r="U759" t="s">
        <v>10410</v>
      </c>
      <c r="V759" t="s">
        <v>10411</v>
      </c>
      <c r="W759" t="s">
        <v>10312</v>
      </c>
      <c r="X759" t="s">
        <v>10313</v>
      </c>
      <c r="Y759" t="s">
        <v>74</v>
      </c>
      <c r="Z759" t="s">
        <v>10412</v>
      </c>
      <c r="AA759" t="s">
        <v>10413</v>
      </c>
      <c r="AB759" t="s">
        <v>10414</v>
      </c>
      <c r="AC759" t="s">
        <v>74</v>
      </c>
      <c r="AD759" t="s">
        <v>74</v>
      </c>
      <c r="AE759" t="s">
        <v>74</v>
      </c>
      <c r="AF759" t="s">
        <v>74</v>
      </c>
      <c r="AG759">
        <v>49</v>
      </c>
      <c r="AH759">
        <v>46</v>
      </c>
      <c r="AI759">
        <v>51</v>
      </c>
      <c r="AJ759">
        <v>2</v>
      </c>
      <c r="AK759">
        <v>19</v>
      </c>
      <c r="AL759" t="s">
        <v>523</v>
      </c>
      <c r="AM759" t="s">
        <v>524</v>
      </c>
      <c r="AN759" t="s">
        <v>525</v>
      </c>
      <c r="AO759" t="s">
        <v>10359</v>
      </c>
      <c r="AP759" t="s">
        <v>10360</v>
      </c>
      <c r="AQ759" t="s">
        <v>74</v>
      </c>
      <c r="AR759" t="s">
        <v>10361</v>
      </c>
      <c r="AS759" t="s">
        <v>10362</v>
      </c>
      <c r="AT759" t="s">
        <v>74</v>
      </c>
      <c r="AU759">
        <v>2002</v>
      </c>
      <c r="AV759">
        <v>244</v>
      </c>
      <c r="AW759" t="s">
        <v>74</v>
      </c>
      <c r="AX759" t="s">
        <v>74</v>
      </c>
      <c r="AY759" t="s">
        <v>74</v>
      </c>
      <c r="AZ759" t="s">
        <v>74</v>
      </c>
      <c r="BA759" t="s">
        <v>74</v>
      </c>
      <c r="BB759">
        <v>257</v>
      </c>
      <c r="BC759">
        <v>264</v>
      </c>
      <c r="BD759" t="s">
        <v>74</v>
      </c>
      <c r="BE759" t="s">
        <v>10415</v>
      </c>
      <c r="BF759" t="str">
        <f>HYPERLINK("http://dx.doi.org/10.3354/meps244257","http://dx.doi.org/10.3354/meps244257")</f>
        <v>http://dx.doi.org/10.3354/meps244257</v>
      </c>
      <c r="BG759" t="s">
        <v>74</v>
      </c>
      <c r="BH759" t="s">
        <v>74</v>
      </c>
      <c r="BI759">
        <v>8</v>
      </c>
      <c r="BJ759" t="s">
        <v>10364</v>
      </c>
      <c r="BK759" t="s">
        <v>170</v>
      </c>
      <c r="BL759" t="s">
        <v>10365</v>
      </c>
      <c r="BM759" t="s">
        <v>10392</v>
      </c>
      <c r="BN759" t="s">
        <v>74</v>
      </c>
      <c r="BO759" t="s">
        <v>10416</v>
      </c>
      <c r="BP759" t="s">
        <v>74</v>
      </c>
      <c r="BQ759" t="s">
        <v>74</v>
      </c>
      <c r="BR759" t="s">
        <v>107</v>
      </c>
      <c r="BS759" t="s">
        <v>10417</v>
      </c>
      <c r="BT759" t="str">
        <f>HYPERLINK("https%3A%2F%2Fwww.webofscience.com%2Fwos%2Fwoscc%2Ffull-record%2FWOS:000180374300023","View Full Record in Web of Science")</f>
        <v>View Full Record in Web of Science</v>
      </c>
    </row>
    <row r="760" spans="1:72" x14ac:dyDescent="0.15">
      <c r="A760" t="s">
        <v>72</v>
      </c>
      <c r="B760" t="s">
        <v>10418</v>
      </c>
      <c r="C760" t="s">
        <v>74</v>
      </c>
      <c r="D760" t="s">
        <v>74</v>
      </c>
      <c r="E760" t="s">
        <v>74</v>
      </c>
      <c r="F760" t="s">
        <v>10418</v>
      </c>
      <c r="G760" t="s">
        <v>74</v>
      </c>
      <c r="H760" t="s">
        <v>74</v>
      </c>
      <c r="I760" t="s">
        <v>10419</v>
      </c>
      <c r="J760" t="s">
        <v>10352</v>
      </c>
      <c r="K760" t="s">
        <v>74</v>
      </c>
      <c r="L760" t="s">
        <v>74</v>
      </c>
      <c r="M760" t="s">
        <v>77</v>
      </c>
      <c r="N760" t="s">
        <v>947</v>
      </c>
      <c r="O760" t="s">
        <v>74</v>
      </c>
      <c r="P760" t="s">
        <v>74</v>
      </c>
      <c r="Q760" t="s">
        <v>74</v>
      </c>
      <c r="R760" t="s">
        <v>74</v>
      </c>
      <c r="S760" t="s">
        <v>74</v>
      </c>
      <c r="T760" t="s">
        <v>10420</v>
      </c>
      <c r="U760" t="s">
        <v>10421</v>
      </c>
      <c r="V760" t="s">
        <v>10422</v>
      </c>
      <c r="W760" t="s">
        <v>10423</v>
      </c>
      <c r="X760" t="s">
        <v>10424</v>
      </c>
      <c r="Y760" t="s">
        <v>10425</v>
      </c>
      <c r="Z760" t="s">
        <v>10426</v>
      </c>
      <c r="AA760" t="s">
        <v>74</v>
      </c>
      <c r="AB760" t="s">
        <v>74</v>
      </c>
      <c r="AC760" t="s">
        <v>74</v>
      </c>
      <c r="AD760" t="s">
        <v>74</v>
      </c>
      <c r="AE760" t="s">
        <v>74</v>
      </c>
      <c r="AF760" t="s">
        <v>74</v>
      </c>
      <c r="AG760">
        <v>94</v>
      </c>
      <c r="AH760">
        <v>256</v>
      </c>
      <c r="AI760">
        <v>283</v>
      </c>
      <c r="AJ760">
        <v>2</v>
      </c>
      <c r="AK760">
        <v>90</v>
      </c>
      <c r="AL760" t="s">
        <v>523</v>
      </c>
      <c r="AM760" t="s">
        <v>524</v>
      </c>
      <c r="AN760" t="s">
        <v>525</v>
      </c>
      <c r="AO760" t="s">
        <v>10359</v>
      </c>
      <c r="AP760" t="s">
        <v>10360</v>
      </c>
      <c r="AQ760" t="s">
        <v>74</v>
      </c>
      <c r="AR760" t="s">
        <v>10361</v>
      </c>
      <c r="AS760" t="s">
        <v>10362</v>
      </c>
      <c r="AT760" t="s">
        <v>74</v>
      </c>
      <c r="AU760">
        <v>2002</v>
      </c>
      <c r="AV760">
        <v>244</v>
      </c>
      <c r="AW760" t="s">
        <v>74</v>
      </c>
      <c r="AX760" t="s">
        <v>74</v>
      </c>
      <c r="AY760" t="s">
        <v>74</v>
      </c>
      <c r="AZ760" t="s">
        <v>74</v>
      </c>
      <c r="BA760" t="s">
        <v>74</v>
      </c>
      <c r="BB760">
        <v>285</v>
      </c>
      <c r="BC760">
        <v>297</v>
      </c>
      <c r="BD760" t="s">
        <v>74</v>
      </c>
      <c r="BE760" t="s">
        <v>10427</v>
      </c>
      <c r="BF760" t="str">
        <f>HYPERLINK("http://dx.doi.org/10.3354/meps244285","http://dx.doi.org/10.3354/meps244285")</f>
        <v>http://dx.doi.org/10.3354/meps244285</v>
      </c>
      <c r="BG760" t="s">
        <v>74</v>
      </c>
      <c r="BH760" t="s">
        <v>74</v>
      </c>
      <c r="BI760">
        <v>13</v>
      </c>
      <c r="BJ760" t="s">
        <v>10364</v>
      </c>
      <c r="BK760" t="s">
        <v>170</v>
      </c>
      <c r="BL760" t="s">
        <v>10365</v>
      </c>
      <c r="BM760" t="s">
        <v>10392</v>
      </c>
      <c r="BN760" t="s">
        <v>74</v>
      </c>
      <c r="BO760" t="s">
        <v>173</v>
      </c>
      <c r="BP760" t="s">
        <v>74</v>
      </c>
      <c r="BQ760" t="s">
        <v>74</v>
      </c>
      <c r="BR760" t="s">
        <v>107</v>
      </c>
      <c r="BS760" t="s">
        <v>10428</v>
      </c>
      <c r="BT760" t="str">
        <f>HYPERLINK("https%3A%2F%2Fwww.webofscience.com%2Fwos%2Fwoscc%2Ffull-record%2FWOS:000180374300025","View Full Record in Web of Science")</f>
        <v>View Full Record in Web of Science</v>
      </c>
    </row>
    <row r="761" spans="1:72" x14ac:dyDescent="0.15">
      <c r="A761" t="s">
        <v>72</v>
      </c>
      <c r="B761" t="s">
        <v>10429</v>
      </c>
      <c r="C761" t="s">
        <v>74</v>
      </c>
      <c r="D761" t="s">
        <v>74</v>
      </c>
      <c r="E761" t="s">
        <v>74</v>
      </c>
      <c r="F761" t="s">
        <v>10429</v>
      </c>
      <c r="G761" t="s">
        <v>74</v>
      </c>
      <c r="H761" t="s">
        <v>74</v>
      </c>
      <c r="I761" t="s">
        <v>10430</v>
      </c>
      <c r="J761" t="s">
        <v>10352</v>
      </c>
      <c r="K761" t="s">
        <v>74</v>
      </c>
      <c r="L761" t="s">
        <v>74</v>
      </c>
      <c r="M761" t="s">
        <v>77</v>
      </c>
      <c r="N761" t="s">
        <v>153</v>
      </c>
      <c r="O761" t="s">
        <v>74</v>
      </c>
      <c r="P761" t="s">
        <v>74</v>
      </c>
      <c r="Q761" t="s">
        <v>74</v>
      </c>
      <c r="R761" t="s">
        <v>74</v>
      </c>
      <c r="S761" t="s">
        <v>74</v>
      </c>
      <c r="T761" t="s">
        <v>10431</v>
      </c>
      <c r="U761" t="s">
        <v>10432</v>
      </c>
      <c r="V761" t="s">
        <v>10433</v>
      </c>
      <c r="W761" t="s">
        <v>10434</v>
      </c>
      <c r="X761" t="s">
        <v>10313</v>
      </c>
      <c r="Y761" t="s">
        <v>10435</v>
      </c>
      <c r="Z761" t="s">
        <v>10436</v>
      </c>
      <c r="AA761" t="s">
        <v>10437</v>
      </c>
      <c r="AB761" t="s">
        <v>10438</v>
      </c>
      <c r="AC761" t="s">
        <v>74</v>
      </c>
      <c r="AD761" t="s">
        <v>74</v>
      </c>
      <c r="AE761" t="s">
        <v>74</v>
      </c>
      <c r="AF761" t="s">
        <v>74</v>
      </c>
      <c r="AG761">
        <v>68</v>
      </c>
      <c r="AH761">
        <v>98</v>
      </c>
      <c r="AI761">
        <v>112</v>
      </c>
      <c r="AJ761">
        <v>4</v>
      </c>
      <c r="AK761">
        <v>44</v>
      </c>
      <c r="AL761" t="s">
        <v>523</v>
      </c>
      <c r="AM761" t="s">
        <v>524</v>
      </c>
      <c r="AN761" t="s">
        <v>525</v>
      </c>
      <c r="AO761" t="s">
        <v>10359</v>
      </c>
      <c r="AP761" t="s">
        <v>10360</v>
      </c>
      <c r="AQ761" t="s">
        <v>74</v>
      </c>
      <c r="AR761" t="s">
        <v>10361</v>
      </c>
      <c r="AS761" t="s">
        <v>10362</v>
      </c>
      <c r="AT761" t="s">
        <v>74</v>
      </c>
      <c r="AU761">
        <v>2002</v>
      </c>
      <c r="AV761">
        <v>243</v>
      </c>
      <c r="AW761" t="s">
        <v>74</v>
      </c>
      <c r="AX761" t="s">
        <v>74</v>
      </c>
      <c r="AY761" t="s">
        <v>74</v>
      </c>
      <c r="AZ761" t="s">
        <v>74</v>
      </c>
      <c r="BA761" t="s">
        <v>74</v>
      </c>
      <c r="BB761">
        <v>261</v>
      </c>
      <c r="BC761">
        <v>269</v>
      </c>
      <c r="BD761" t="s">
        <v>74</v>
      </c>
      <c r="BE761" t="s">
        <v>10439</v>
      </c>
      <c r="BF761" t="str">
        <f>HYPERLINK("http://dx.doi.org/10.3354/meps243261","http://dx.doi.org/10.3354/meps243261")</f>
        <v>http://dx.doi.org/10.3354/meps243261</v>
      </c>
      <c r="BG761" t="s">
        <v>74</v>
      </c>
      <c r="BH761" t="s">
        <v>74</v>
      </c>
      <c r="BI761">
        <v>9</v>
      </c>
      <c r="BJ761" t="s">
        <v>10364</v>
      </c>
      <c r="BK761" t="s">
        <v>170</v>
      </c>
      <c r="BL761" t="s">
        <v>10365</v>
      </c>
      <c r="BM761" t="s">
        <v>10440</v>
      </c>
      <c r="BN761" t="s">
        <v>74</v>
      </c>
      <c r="BO761" t="s">
        <v>10118</v>
      </c>
      <c r="BP761" t="s">
        <v>74</v>
      </c>
      <c r="BQ761" t="s">
        <v>74</v>
      </c>
      <c r="BR761" t="s">
        <v>107</v>
      </c>
      <c r="BS761" t="s">
        <v>10441</v>
      </c>
      <c r="BT761" t="str">
        <f>HYPERLINK("https%3A%2F%2Fwww.webofscience.com%2Fwos%2Fwoscc%2Ffull-record%2FWOS:000179689200022","View Full Record in Web of Science")</f>
        <v>View Full Record in Web of Science</v>
      </c>
    </row>
    <row r="762" spans="1:72" x14ac:dyDescent="0.15">
      <c r="A762" t="s">
        <v>72</v>
      </c>
      <c r="B762" t="s">
        <v>10442</v>
      </c>
      <c r="C762" t="s">
        <v>74</v>
      </c>
      <c r="D762" t="s">
        <v>74</v>
      </c>
      <c r="E762" t="s">
        <v>74</v>
      </c>
      <c r="F762" t="s">
        <v>10442</v>
      </c>
      <c r="G762" t="s">
        <v>74</v>
      </c>
      <c r="H762" t="s">
        <v>74</v>
      </c>
      <c r="I762" t="s">
        <v>10443</v>
      </c>
      <c r="J762" t="s">
        <v>10352</v>
      </c>
      <c r="K762" t="s">
        <v>74</v>
      </c>
      <c r="L762" t="s">
        <v>74</v>
      </c>
      <c r="M762" t="s">
        <v>77</v>
      </c>
      <c r="N762" t="s">
        <v>153</v>
      </c>
      <c r="O762" t="s">
        <v>74</v>
      </c>
      <c r="P762" t="s">
        <v>74</v>
      </c>
      <c r="Q762" t="s">
        <v>74</v>
      </c>
      <c r="R762" t="s">
        <v>74</v>
      </c>
      <c r="S762" t="s">
        <v>74</v>
      </c>
      <c r="T762" t="s">
        <v>10444</v>
      </c>
      <c r="U762" t="s">
        <v>10445</v>
      </c>
      <c r="V762" t="s">
        <v>10446</v>
      </c>
      <c r="W762" t="s">
        <v>10447</v>
      </c>
      <c r="X762" t="s">
        <v>2368</v>
      </c>
      <c r="Y762" t="s">
        <v>10448</v>
      </c>
      <c r="Z762" t="s">
        <v>10449</v>
      </c>
      <c r="AA762" t="s">
        <v>74</v>
      </c>
      <c r="AB762" t="s">
        <v>10450</v>
      </c>
      <c r="AC762" t="s">
        <v>74</v>
      </c>
      <c r="AD762" t="s">
        <v>74</v>
      </c>
      <c r="AE762" t="s">
        <v>74</v>
      </c>
      <c r="AF762" t="s">
        <v>74</v>
      </c>
      <c r="AG762">
        <v>82</v>
      </c>
      <c r="AH762">
        <v>79</v>
      </c>
      <c r="AI762">
        <v>84</v>
      </c>
      <c r="AJ762">
        <v>2</v>
      </c>
      <c r="AK762">
        <v>33</v>
      </c>
      <c r="AL762" t="s">
        <v>523</v>
      </c>
      <c r="AM762" t="s">
        <v>524</v>
      </c>
      <c r="AN762" t="s">
        <v>525</v>
      </c>
      <c r="AO762" t="s">
        <v>10359</v>
      </c>
      <c r="AP762" t="s">
        <v>74</v>
      </c>
      <c r="AQ762" t="s">
        <v>74</v>
      </c>
      <c r="AR762" t="s">
        <v>10361</v>
      </c>
      <c r="AS762" t="s">
        <v>10362</v>
      </c>
      <c r="AT762" t="s">
        <v>74</v>
      </c>
      <c r="AU762">
        <v>2002</v>
      </c>
      <c r="AV762">
        <v>242</v>
      </c>
      <c r="AW762" t="s">
        <v>74</v>
      </c>
      <c r="AX762" t="s">
        <v>74</v>
      </c>
      <c r="AY762" t="s">
        <v>74</v>
      </c>
      <c r="AZ762" t="s">
        <v>74</v>
      </c>
      <c r="BA762" t="s">
        <v>74</v>
      </c>
      <c r="BB762">
        <v>1</v>
      </c>
      <c r="BC762">
        <v>14</v>
      </c>
      <c r="BD762" t="s">
        <v>74</v>
      </c>
      <c r="BE762" t="s">
        <v>10451</v>
      </c>
      <c r="BF762" t="str">
        <f>HYPERLINK("http://dx.doi.org/10.3354/meps242001","http://dx.doi.org/10.3354/meps242001")</f>
        <v>http://dx.doi.org/10.3354/meps242001</v>
      </c>
      <c r="BG762" t="s">
        <v>74</v>
      </c>
      <c r="BH762" t="s">
        <v>74</v>
      </c>
      <c r="BI762">
        <v>14</v>
      </c>
      <c r="BJ762" t="s">
        <v>10364</v>
      </c>
      <c r="BK762" t="s">
        <v>170</v>
      </c>
      <c r="BL762" t="s">
        <v>10365</v>
      </c>
      <c r="BM762" t="s">
        <v>10452</v>
      </c>
      <c r="BN762" t="s">
        <v>74</v>
      </c>
      <c r="BO762" t="s">
        <v>1767</v>
      </c>
      <c r="BP762" t="s">
        <v>74</v>
      </c>
      <c r="BQ762" t="s">
        <v>74</v>
      </c>
      <c r="BR762" t="s">
        <v>107</v>
      </c>
      <c r="BS762" t="s">
        <v>10453</v>
      </c>
      <c r="BT762" t="str">
        <f>HYPERLINK("https%3A%2F%2Fwww.webofscience.com%2Fwos%2Fwoscc%2Ffull-record%2FWOS:000179463800001","View Full Record in Web of Science")</f>
        <v>View Full Record in Web of Science</v>
      </c>
    </row>
    <row r="763" spans="1:72" x14ac:dyDescent="0.15">
      <c r="A763" t="s">
        <v>72</v>
      </c>
      <c r="B763" t="s">
        <v>10454</v>
      </c>
      <c r="C763" t="s">
        <v>74</v>
      </c>
      <c r="D763" t="s">
        <v>74</v>
      </c>
      <c r="E763" t="s">
        <v>74</v>
      </c>
      <c r="F763" t="s">
        <v>10454</v>
      </c>
      <c r="G763" t="s">
        <v>74</v>
      </c>
      <c r="H763" t="s">
        <v>74</v>
      </c>
      <c r="I763" t="s">
        <v>10455</v>
      </c>
      <c r="J763" t="s">
        <v>10352</v>
      </c>
      <c r="K763" t="s">
        <v>74</v>
      </c>
      <c r="L763" t="s">
        <v>74</v>
      </c>
      <c r="M763" t="s">
        <v>77</v>
      </c>
      <c r="N763" t="s">
        <v>153</v>
      </c>
      <c r="O763" t="s">
        <v>74</v>
      </c>
      <c r="P763" t="s">
        <v>74</v>
      </c>
      <c r="Q763" t="s">
        <v>74</v>
      </c>
      <c r="R763" t="s">
        <v>74</v>
      </c>
      <c r="S763" t="s">
        <v>74</v>
      </c>
      <c r="T763" t="s">
        <v>10456</v>
      </c>
      <c r="U763" t="s">
        <v>10457</v>
      </c>
      <c r="V763" t="s">
        <v>10458</v>
      </c>
      <c r="W763" t="s">
        <v>10459</v>
      </c>
      <c r="X763" t="s">
        <v>10460</v>
      </c>
      <c r="Y763" t="s">
        <v>10461</v>
      </c>
      <c r="Z763" t="s">
        <v>10462</v>
      </c>
      <c r="AA763" t="s">
        <v>10463</v>
      </c>
      <c r="AB763" t="s">
        <v>74</v>
      </c>
      <c r="AC763" t="s">
        <v>74</v>
      </c>
      <c r="AD763" t="s">
        <v>74</v>
      </c>
      <c r="AE763" t="s">
        <v>74</v>
      </c>
      <c r="AF763" t="s">
        <v>74</v>
      </c>
      <c r="AG763">
        <v>68</v>
      </c>
      <c r="AH763">
        <v>19</v>
      </c>
      <c r="AI763">
        <v>20</v>
      </c>
      <c r="AJ763">
        <v>0</v>
      </c>
      <c r="AK763">
        <v>6</v>
      </c>
      <c r="AL763" t="s">
        <v>523</v>
      </c>
      <c r="AM763" t="s">
        <v>524</v>
      </c>
      <c r="AN763" t="s">
        <v>525</v>
      </c>
      <c r="AO763" t="s">
        <v>10359</v>
      </c>
      <c r="AP763" t="s">
        <v>74</v>
      </c>
      <c r="AQ763" t="s">
        <v>74</v>
      </c>
      <c r="AR763" t="s">
        <v>10361</v>
      </c>
      <c r="AS763" t="s">
        <v>10362</v>
      </c>
      <c r="AT763" t="s">
        <v>74</v>
      </c>
      <c r="AU763">
        <v>2002</v>
      </c>
      <c r="AV763">
        <v>242</v>
      </c>
      <c r="AW763" t="s">
        <v>74</v>
      </c>
      <c r="AX763" t="s">
        <v>74</v>
      </c>
      <c r="AY763" t="s">
        <v>74</v>
      </c>
      <c r="AZ763" t="s">
        <v>74</v>
      </c>
      <c r="BA763" t="s">
        <v>74</v>
      </c>
      <c r="BB763">
        <v>51</v>
      </c>
      <c r="BC763">
        <v>62</v>
      </c>
      <c r="BD763" t="s">
        <v>74</v>
      </c>
      <c r="BE763" t="s">
        <v>10464</v>
      </c>
      <c r="BF763" t="str">
        <f>HYPERLINK("http://dx.doi.org/10.3354/meps242051","http://dx.doi.org/10.3354/meps242051")</f>
        <v>http://dx.doi.org/10.3354/meps242051</v>
      </c>
      <c r="BG763" t="s">
        <v>74</v>
      </c>
      <c r="BH763" t="s">
        <v>74</v>
      </c>
      <c r="BI763">
        <v>12</v>
      </c>
      <c r="BJ763" t="s">
        <v>10364</v>
      </c>
      <c r="BK763" t="s">
        <v>170</v>
      </c>
      <c r="BL763" t="s">
        <v>10365</v>
      </c>
      <c r="BM763" t="s">
        <v>10452</v>
      </c>
      <c r="BN763" t="s">
        <v>74</v>
      </c>
      <c r="BO763" t="s">
        <v>10465</v>
      </c>
      <c r="BP763" t="s">
        <v>74</v>
      </c>
      <c r="BQ763" t="s">
        <v>74</v>
      </c>
      <c r="BR763" t="s">
        <v>107</v>
      </c>
      <c r="BS763" t="s">
        <v>10466</v>
      </c>
      <c r="BT763" t="str">
        <f>HYPERLINK("https%3A%2F%2Fwww.webofscience.com%2Fwos%2Fwoscc%2Ffull-record%2FWOS:000179463800005","View Full Record in Web of Science")</f>
        <v>View Full Record in Web of Science</v>
      </c>
    </row>
    <row r="764" spans="1:72" x14ac:dyDescent="0.15">
      <c r="A764" t="s">
        <v>72</v>
      </c>
      <c r="B764" t="s">
        <v>10467</v>
      </c>
      <c r="C764" t="s">
        <v>74</v>
      </c>
      <c r="D764" t="s">
        <v>74</v>
      </c>
      <c r="E764" t="s">
        <v>74</v>
      </c>
      <c r="F764" t="s">
        <v>10467</v>
      </c>
      <c r="G764" t="s">
        <v>74</v>
      </c>
      <c r="H764" t="s">
        <v>74</v>
      </c>
      <c r="I764" t="s">
        <v>10468</v>
      </c>
      <c r="J764" t="s">
        <v>10352</v>
      </c>
      <c r="K764" t="s">
        <v>74</v>
      </c>
      <c r="L764" t="s">
        <v>74</v>
      </c>
      <c r="M764" t="s">
        <v>77</v>
      </c>
      <c r="N764" t="s">
        <v>153</v>
      </c>
      <c r="O764" t="s">
        <v>74</v>
      </c>
      <c r="P764" t="s">
        <v>74</v>
      </c>
      <c r="Q764" t="s">
        <v>74</v>
      </c>
      <c r="R764" t="s">
        <v>74</v>
      </c>
      <c r="S764" t="s">
        <v>74</v>
      </c>
      <c r="T764" t="s">
        <v>10469</v>
      </c>
      <c r="U764" t="s">
        <v>10470</v>
      </c>
      <c r="V764" t="s">
        <v>10471</v>
      </c>
      <c r="W764" t="s">
        <v>9131</v>
      </c>
      <c r="X764" t="s">
        <v>852</v>
      </c>
      <c r="Y764" t="s">
        <v>10472</v>
      </c>
      <c r="Z764" t="s">
        <v>10473</v>
      </c>
      <c r="AA764" t="s">
        <v>74</v>
      </c>
      <c r="AB764" t="s">
        <v>10474</v>
      </c>
      <c r="AC764" t="s">
        <v>74</v>
      </c>
      <c r="AD764" t="s">
        <v>74</v>
      </c>
      <c r="AE764" t="s">
        <v>74</v>
      </c>
      <c r="AF764" t="s">
        <v>74</v>
      </c>
      <c r="AG764">
        <v>47</v>
      </c>
      <c r="AH764">
        <v>51</v>
      </c>
      <c r="AI764">
        <v>55</v>
      </c>
      <c r="AJ764">
        <v>1</v>
      </c>
      <c r="AK764">
        <v>13</v>
      </c>
      <c r="AL764" t="s">
        <v>523</v>
      </c>
      <c r="AM764" t="s">
        <v>524</v>
      </c>
      <c r="AN764" t="s">
        <v>525</v>
      </c>
      <c r="AO764" t="s">
        <v>10359</v>
      </c>
      <c r="AP764" t="s">
        <v>74</v>
      </c>
      <c r="AQ764" t="s">
        <v>74</v>
      </c>
      <c r="AR764" t="s">
        <v>10361</v>
      </c>
      <c r="AS764" t="s">
        <v>10362</v>
      </c>
      <c r="AT764" t="s">
        <v>74</v>
      </c>
      <c r="AU764">
        <v>2002</v>
      </c>
      <c r="AV764">
        <v>242</v>
      </c>
      <c r="AW764" t="s">
        <v>74</v>
      </c>
      <c r="AX764" t="s">
        <v>74</v>
      </c>
      <c r="AY764" t="s">
        <v>74</v>
      </c>
      <c r="AZ764" t="s">
        <v>74</v>
      </c>
      <c r="BA764" t="s">
        <v>74</v>
      </c>
      <c r="BB764">
        <v>169</v>
      </c>
      <c r="BC764">
        <v>177</v>
      </c>
      <c r="BD764" t="s">
        <v>74</v>
      </c>
      <c r="BE764" t="s">
        <v>10475</v>
      </c>
      <c r="BF764" t="str">
        <f>HYPERLINK("http://dx.doi.org/10.3354/meps242169","http://dx.doi.org/10.3354/meps242169")</f>
        <v>http://dx.doi.org/10.3354/meps242169</v>
      </c>
      <c r="BG764" t="s">
        <v>74</v>
      </c>
      <c r="BH764" t="s">
        <v>74</v>
      </c>
      <c r="BI764">
        <v>9</v>
      </c>
      <c r="BJ764" t="s">
        <v>10364</v>
      </c>
      <c r="BK764" t="s">
        <v>170</v>
      </c>
      <c r="BL764" t="s">
        <v>10365</v>
      </c>
      <c r="BM764" t="s">
        <v>10452</v>
      </c>
      <c r="BN764" t="s">
        <v>74</v>
      </c>
      <c r="BO764" t="s">
        <v>1682</v>
      </c>
      <c r="BP764" t="s">
        <v>74</v>
      </c>
      <c r="BQ764" t="s">
        <v>74</v>
      </c>
      <c r="BR764" t="s">
        <v>107</v>
      </c>
      <c r="BS764" t="s">
        <v>10476</v>
      </c>
      <c r="BT764" t="str">
        <f>HYPERLINK("https%3A%2F%2Fwww.webofscience.com%2Fwos%2Fwoscc%2Ffull-record%2FWOS:000179463800015","View Full Record in Web of Science")</f>
        <v>View Full Record in Web of Science</v>
      </c>
    </row>
    <row r="765" spans="1:72" x14ac:dyDescent="0.15">
      <c r="A765" t="s">
        <v>72</v>
      </c>
      <c r="B765" t="s">
        <v>10477</v>
      </c>
      <c r="C765" t="s">
        <v>74</v>
      </c>
      <c r="D765" t="s">
        <v>74</v>
      </c>
      <c r="E765" t="s">
        <v>74</v>
      </c>
      <c r="F765" t="s">
        <v>10477</v>
      </c>
      <c r="G765" t="s">
        <v>74</v>
      </c>
      <c r="H765" t="s">
        <v>74</v>
      </c>
      <c r="I765" t="s">
        <v>10478</v>
      </c>
      <c r="J765" t="s">
        <v>10352</v>
      </c>
      <c r="K765" t="s">
        <v>74</v>
      </c>
      <c r="L765" t="s">
        <v>74</v>
      </c>
      <c r="M765" t="s">
        <v>77</v>
      </c>
      <c r="N765" t="s">
        <v>153</v>
      </c>
      <c r="O765" t="s">
        <v>74</v>
      </c>
      <c r="P765" t="s">
        <v>74</v>
      </c>
      <c r="Q765" t="s">
        <v>74</v>
      </c>
      <c r="R765" t="s">
        <v>74</v>
      </c>
      <c r="S765" t="s">
        <v>74</v>
      </c>
      <c r="T765" t="s">
        <v>10479</v>
      </c>
      <c r="U765" t="s">
        <v>10480</v>
      </c>
      <c r="V765" t="s">
        <v>10481</v>
      </c>
      <c r="W765" t="s">
        <v>10482</v>
      </c>
      <c r="X765" t="s">
        <v>10483</v>
      </c>
      <c r="Y765" t="s">
        <v>10484</v>
      </c>
      <c r="Z765" t="s">
        <v>10485</v>
      </c>
      <c r="AA765" t="s">
        <v>10486</v>
      </c>
      <c r="AB765" t="s">
        <v>10487</v>
      </c>
      <c r="AC765" t="s">
        <v>74</v>
      </c>
      <c r="AD765" t="s">
        <v>74</v>
      </c>
      <c r="AE765" t="s">
        <v>74</v>
      </c>
      <c r="AF765" t="s">
        <v>74</v>
      </c>
      <c r="AG765">
        <v>52</v>
      </c>
      <c r="AH765">
        <v>66</v>
      </c>
      <c r="AI765">
        <v>80</v>
      </c>
      <c r="AJ765">
        <v>0</v>
      </c>
      <c r="AK765">
        <v>16</v>
      </c>
      <c r="AL765" t="s">
        <v>523</v>
      </c>
      <c r="AM765" t="s">
        <v>524</v>
      </c>
      <c r="AN765" t="s">
        <v>525</v>
      </c>
      <c r="AO765" t="s">
        <v>10359</v>
      </c>
      <c r="AP765" t="s">
        <v>10360</v>
      </c>
      <c r="AQ765" t="s">
        <v>74</v>
      </c>
      <c r="AR765" t="s">
        <v>10361</v>
      </c>
      <c r="AS765" t="s">
        <v>10362</v>
      </c>
      <c r="AT765" t="s">
        <v>74</v>
      </c>
      <c r="AU765">
        <v>2002</v>
      </c>
      <c r="AV765">
        <v>242</v>
      </c>
      <c r="AW765" t="s">
        <v>74</v>
      </c>
      <c r="AX765" t="s">
        <v>74</v>
      </c>
      <c r="AY765" t="s">
        <v>74</v>
      </c>
      <c r="AZ765" t="s">
        <v>74</v>
      </c>
      <c r="BA765" t="s">
        <v>74</v>
      </c>
      <c r="BB765">
        <v>275</v>
      </c>
      <c r="BC765">
        <v>284</v>
      </c>
      <c r="BD765" t="s">
        <v>74</v>
      </c>
      <c r="BE765" t="s">
        <v>10488</v>
      </c>
      <c r="BF765" t="str">
        <f>HYPERLINK("http://dx.doi.org/10.3354/meps242275","http://dx.doi.org/10.3354/meps242275")</f>
        <v>http://dx.doi.org/10.3354/meps242275</v>
      </c>
      <c r="BG765" t="s">
        <v>74</v>
      </c>
      <c r="BH765" t="s">
        <v>74</v>
      </c>
      <c r="BI765">
        <v>10</v>
      </c>
      <c r="BJ765" t="s">
        <v>10364</v>
      </c>
      <c r="BK765" t="s">
        <v>170</v>
      </c>
      <c r="BL765" t="s">
        <v>10365</v>
      </c>
      <c r="BM765" t="s">
        <v>10452</v>
      </c>
      <c r="BN765" t="s">
        <v>74</v>
      </c>
      <c r="BO765" t="s">
        <v>173</v>
      </c>
      <c r="BP765" t="s">
        <v>74</v>
      </c>
      <c r="BQ765" t="s">
        <v>74</v>
      </c>
      <c r="BR765" t="s">
        <v>107</v>
      </c>
      <c r="BS765" t="s">
        <v>10489</v>
      </c>
      <c r="BT765" t="str">
        <f>HYPERLINK("https%3A%2F%2Fwww.webofscience.com%2Fwos%2Fwoscc%2Ffull-record%2FWOS:000179463800024","View Full Record in Web of Science")</f>
        <v>View Full Record in Web of Science</v>
      </c>
    </row>
    <row r="766" spans="1:72" x14ac:dyDescent="0.15">
      <c r="A766" t="s">
        <v>72</v>
      </c>
      <c r="B766" t="s">
        <v>10490</v>
      </c>
      <c r="C766" t="s">
        <v>74</v>
      </c>
      <c r="D766" t="s">
        <v>74</v>
      </c>
      <c r="E766" t="s">
        <v>74</v>
      </c>
      <c r="F766" t="s">
        <v>10490</v>
      </c>
      <c r="G766" t="s">
        <v>74</v>
      </c>
      <c r="H766" t="s">
        <v>74</v>
      </c>
      <c r="I766" t="s">
        <v>10491</v>
      </c>
      <c r="J766" t="s">
        <v>10352</v>
      </c>
      <c r="K766" t="s">
        <v>74</v>
      </c>
      <c r="L766" t="s">
        <v>74</v>
      </c>
      <c r="M766" t="s">
        <v>77</v>
      </c>
      <c r="N766" t="s">
        <v>153</v>
      </c>
      <c r="O766" t="s">
        <v>74</v>
      </c>
      <c r="P766" t="s">
        <v>74</v>
      </c>
      <c r="Q766" t="s">
        <v>74</v>
      </c>
      <c r="R766" t="s">
        <v>74</v>
      </c>
      <c r="S766" t="s">
        <v>74</v>
      </c>
      <c r="T766" t="s">
        <v>10492</v>
      </c>
      <c r="U766" t="s">
        <v>10493</v>
      </c>
      <c r="V766" t="s">
        <v>10494</v>
      </c>
      <c r="W766" t="s">
        <v>10495</v>
      </c>
      <c r="X766" t="s">
        <v>1456</v>
      </c>
      <c r="Y766" t="s">
        <v>10496</v>
      </c>
      <c r="Z766" t="s">
        <v>10497</v>
      </c>
      <c r="AA766" t="s">
        <v>10498</v>
      </c>
      <c r="AB766" t="s">
        <v>10499</v>
      </c>
      <c r="AC766" t="s">
        <v>74</v>
      </c>
      <c r="AD766" t="s">
        <v>74</v>
      </c>
      <c r="AE766" t="s">
        <v>74</v>
      </c>
      <c r="AF766" t="s">
        <v>74</v>
      </c>
      <c r="AG766">
        <v>37</v>
      </c>
      <c r="AH766">
        <v>90</v>
      </c>
      <c r="AI766">
        <v>96</v>
      </c>
      <c r="AJ766">
        <v>0</v>
      </c>
      <c r="AK766">
        <v>13</v>
      </c>
      <c r="AL766" t="s">
        <v>523</v>
      </c>
      <c r="AM766" t="s">
        <v>524</v>
      </c>
      <c r="AN766" t="s">
        <v>525</v>
      </c>
      <c r="AO766" t="s">
        <v>10359</v>
      </c>
      <c r="AP766" t="s">
        <v>74</v>
      </c>
      <c r="AQ766" t="s">
        <v>74</v>
      </c>
      <c r="AR766" t="s">
        <v>10361</v>
      </c>
      <c r="AS766" t="s">
        <v>10362</v>
      </c>
      <c r="AT766" t="s">
        <v>74</v>
      </c>
      <c r="AU766">
        <v>2002</v>
      </c>
      <c r="AV766">
        <v>242</v>
      </c>
      <c r="AW766" t="s">
        <v>74</v>
      </c>
      <c r="AX766" t="s">
        <v>74</v>
      </c>
      <c r="AY766" t="s">
        <v>74</v>
      </c>
      <c r="AZ766" t="s">
        <v>74</v>
      </c>
      <c r="BA766" t="s">
        <v>74</v>
      </c>
      <c r="BB766">
        <v>285</v>
      </c>
      <c r="BC766">
        <v>294</v>
      </c>
      <c r="BD766" t="s">
        <v>74</v>
      </c>
      <c r="BE766" t="s">
        <v>10500</v>
      </c>
      <c r="BF766" t="str">
        <f>HYPERLINK("http://dx.doi.org/10.3354/meps242285","http://dx.doi.org/10.3354/meps242285")</f>
        <v>http://dx.doi.org/10.3354/meps242285</v>
      </c>
      <c r="BG766" t="s">
        <v>74</v>
      </c>
      <c r="BH766" t="s">
        <v>74</v>
      </c>
      <c r="BI766">
        <v>10</v>
      </c>
      <c r="BJ766" t="s">
        <v>10364</v>
      </c>
      <c r="BK766" t="s">
        <v>170</v>
      </c>
      <c r="BL766" t="s">
        <v>10365</v>
      </c>
      <c r="BM766" t="s">
        <v>10452</v>
      </c>
      <c r="BN766" t="s">
        <v>74</v>
      </c>
      <c r="BO766" t="s">
        <v>173</v>
      </c>
      <c r="BP766" t="s">
        <v>74</v>
      </c>
      <c r="BQ766" t="s">
        <v>74</v>
      </c>
      <c r="BR766" t="s">
        <v>107</v>
      </c>
      <c r="BS766" t="s">
        <v>10501</v>
      </c>
      <c r="BT766" t="str">
        <f>HYPERLINK("https%3A%2F%2Fwww.webofscience.com%2Fwos%2Fwoscc%2Ffull-record%2FWOS:000179463800025","View Full Record in Web of Science")</f>
        <v>View Full Record in Web of Science</v>
      </c>
    </row>
    <row r="767" spans="1:72" x14ac:dyDescent="0.15">
      <c r="A767" t="s">
        <v>72</v>
      </c>
      <c r="B767" t="s">
        <v>10502</v>
      </c>
      <c r="C767" t="s">
        <v>74</v>
      </c>
      <c r="D767" t="s">
        <v>74</v>
      </c>
      <c r="E767" t="s">
        <v>74</v>
      </c>
      <c r="F767" t="s">
        <v>10502</v>
      </c>
      <c r="G767" t="s">
        <v>74</v>
      </c>
      <c r="H767" t="s">
        <v>74</v>
      </c>
      <c r="I767" t="s">
        <v>10503</v>
      </c>
      <c r="J767" t="s">
        <v>10352</v>
      </c>
      <c r="K767" t="s">
        <v>74</v>
      </c>
      <c r="L767" t="s">
        <v>74</v>
      </c>
      <c r="M767" t="s">
        <v>77</v>
      </c>
      <c r="N767" t="s">
        <v>153</v>
      </c>
      <c r="O767" t="s">
        <v>74</v>
      </c>
      <c r="P767" t="s">
        <v>74</v>
      </c>
      <c r="Q767" t="s">
        <v>74</v>
      </c>
      <c r="R767" t="s">
        <v>74</v>
      </c>
      <c r="S767" t="s">
        <v>74</v>
      </c>
      <c r="T767" t="s">
        <v>10504</v>
      </c>
      <c r="U767" t="s">
        <v>10505</v>
      </c>
      <c r="V767" t="s">
        <v>10506</v>
      </c>
      <c r="W767" t="s">
        <v>10507</v>
      </c>
      <c r="X767" t="s">
        <v>10508</v>
      </c>
      <c r="Y767" t="s">
        <v>10509</v>
      </c>
      <c r="Z767" t="s">
        <v>10510</v>
      </c>
      <c r="AA767" t="s">
        <v>74</v>
      </c>
      <c r="AB767" t="s">
        <v>10511</v>
      </c>
      <c r="AC767" t="s">
        <v>74</v>
      </c>
      <c r="AD767" t="s">
        <v>74</v>
      </c>
      <c r="AE767" t="s">
        <v>74</v>
      </c>
      <c r="AF767" t="s">
        <v>74</v>
      </c>
      <c r="AG767">
        <v>48</v>
      </c>
      <c r="AH767">
        <v>12</v>
      </c>
      <c r="AI767">
        <v>14</v>
      </c>
      <c r="AJ767">
        <v>1</v>
      </c>
      <c r="AK767">
        <v>9</v>
      </c>
      <c r="AL767" t="s">
        <v>523</v>
      </c>
      <c r="AM767" t="s">
        <v>524</v>
      </c>
      <c r="AN767" t="s">
        <v>525</v>
      </c>
      <c r="AO767" t="s">
        <v>10359</v>
      </c>
      <c r="AP767" t="s">
        <v>74</v>
      </c>
      <c r="AQ767" t="s">
        <v>74</v>
      </c>
      <c r="AR767" t="s">
        <v>10361</v>
      </c>
      <c r="AS767" t="s">
        <v>10362</v>
      </c>
      <c r="AT767" t="s">
        <v>74</v>
      </c>
      <c r="AU767">
        <v>2002</v>
      </c>
      <c r="AV767">
        <v>241</v>
      </c>
      <c r="AW767" t="s">
        <v>74</v>
      </c>
      <c r="AX767" t="s">
        <v>74</v>
      </c>
      <c r="AY767" t="s">
        <v>74</v>
      </c>
      <c r="AZ767" t="s">
        <v>74</v>
      </c>
      <c r="BA767" t="s">
        <v>74</v>
      </c>
      <c r="BB767">
        <v>139</v>
      </c>
      <c r="BC767">
        <v>149</v>
      </c>
      <c r="BD767" t="s">
        <v>74</v>
      </c>
      <c r="BE767" t="s">
        <v>10512</v>
      </c>
      <c r="BF767" t="str">
        <f>HYPERLINK("http://dx.doi.org/10.3354/meps241139","http://dx.doi.org/10.3354/meps241139")</f>
        <v>http://dx.doi.org/10.3354/meps241139</v>
      </c>
      <c r="BG767" t="s">
        <v>74</v>
      </c>
      <c r="BH767" t="s">
        <v>74</v>
      </c>
      <c r="BI767">
        <v>11</v>
      </c>
      <c r="BJ767" t="s">
        <v>10364</v>
      </c>
      <c r="BK767" t="s">
        <v>170</v>
      </c>
      <c r="BL767" t="s">
        <v>10365</v>
      </c>
      <c r="BM767" t="s">
        <v>10513</v>
      </c>
      <c r="BN767" t="s">
        <v>74</v>
      </c>
      <c r="BO767" t="s">
        <v>173</v>
      </c>
      <c r="BP767" t="s">
        <v>74</v>
      </c>
      <c r="BQ767" t="s">
        <v>74</v>
      </c>
      <c r="BR767" t="s">
        <v>107</v>
      </c>
      <c r="BS767" t="s">
        <v>10514</v>
      </c>
      <c r="BT767" t="str">
        <f>HYPERLINK("https%3A%2F%2Fwww.webofscience.com%2Fwos%2Fwoscc%2Ffull-record%2FWOS:000179145900012","View Full Record in Web of Science")</f>
        <v>View Full Record in Web of Science</v>
      </c>
    </row>
    <row r="768" spans="1:72" x14ac:dyDescent="0.15">
      <c r="A768" t="s">
        <v>72</v>
      </c>
      <c r="B768" t="s">
        <v>10515</v>
      </c>
      <c r="C768" t="s">
        <v>74</v>
      </c>
      <c r="D768" t="s">
        <v>74</v>
      </c>
      <c r="E768" t="s">
        <v>74</v>
      </c>
      <c r="F768" t="s">
        <v>10515</v>
      </c>
      <c r="G768" t="s">
        <v>74</v>
      </c>
      <c r="H768" t="s">
        <v>74</v>
      </c>
      <c r="I768" t="s">
        <v>10516</v>
      </c>
      <c r="J768" t="s">
        <v>10352</v>
      </c>
      <c r="K768" t="s">
        <v>74</v>
      </c>
      <c r="L768" t="s">
        <v>74</v>
      </c>
      <c r="M768" t="s">
        <v>77</v>
      </c>
      <c r="N768" t="s">
        <v>153</v>
      </c>
      <c r="O768" t="s">
        <v>74</v>
      </c>
      <c r="P768" t="s">
        <v>74</v>
      </c>
      <c r="Q768" t="s">
        <v>74</v>
      </c>
      <c r="R768" t="s">
        <v>74</v>
      </c>
      <c r="S768" t="s">
        <v>74</v>
      </c>
      <c r="T768" t="s">
        <v>10517</v>
      </c>
      <c r="U768" t="s">
        <v>10518</v>
      </c>
      <c r="V768" t="s">
        <v>10519</v>
      </c>
      <c r="W768" t="s">
        <v>10520</v>
      </c>
      <c r="X768" t="s">
        <v>10521</v>
      </c>
      <c r="Y768" t="s">
        <v>10522</v>
      </c>
      <c r="Z768" t="s">
        <v>10523</v>
      </c>
      <c r="AA768" t="s">
        <v>2903</v>
      </c>
      <c r="AB768" t="s">
        <v>10524</v>
      </c>
      <c r="AC768" t="s">
        <v>74</v>
      </c>
      <c r="AD768" t="s">
        <v>74</v>
      </c>
      <c r="AE768" t="s">
        <v>74</v>
      </c>
      <c r="AF768" t="s">
        <v>74</v>
      </c>
      <c r="AG768">
        <v>57</v>
      </c>
      <c r="AH768">
        <v>27</v>
      </c>
      <c r="AI768">
        <v>27</v>
      </c>
      <c r="AJ768">
        <v>0</v>
      </c>
      <c r="AK768">
        <v>13</v>
      </c>
      <c r="AL768" t="s">
        <v>523</v>
      </c>
      <c r="AM768" t="s">
        <v>524</v>
      </c>
      <c r="AN768" t="s">
        <v>525</v>
      </c>
      <c r="AO768" t="s">
        <v>10359</v>
      </c>
      <c r="AP768" t="s">
        <v>74</v>
      </c>
      <c r="AQ768" t="s">
        <v>74</v>
      </c>
      <c r="AR768" t="s">
        <v>10361</v>
      </c>
      <c r="AS768" t="s">
        <v>10362</v>
      </c>
      <c r="AT768" t="s">
        <v>74</v>
      </c>
      <c r="AU768">
        <v>2002</v>
      </c>
      <c r="AV768">
        <v>240</v>
      </c>
      <c r="AW768" t="s">
        <v>74</v>
      </c>
      <c r="AX768" t="s">
        <v>74</v>
      </c>
      <c r="AY768" t="s">
        <v>74</v>
      </c>
      <c r="AZ768" t="s">
        <v>74</v>
      </c>
      <c r="BA768" t="s">
        <v>74</v>
      </c>
      <c r="BB768">
        <v>57</v>
      </c>
      <c r="BC768">
        <v>70</v>
      </c>
      <c r="BD768" t="s">
        <v>74</v>
      </c>
      <c r="BE768" t="s">
        <v>10525</v>
      </c>
      <c r="BF768" t="str">
        <f>HYPERLINK("http://dx.doi.org/10.3354/meps240057","http://dx.doi.org/10.3354/meps240057")</f>
        <v>http://dx.doi.org/10.3354/meps240057</v>
      </c>
      <c r="BG768" t="s">
        <v>74</v>
      </c>
      <c r="BH768" t="s">
        <v>74</v>
      </c>
      <c r="BI768">
        <v>14</v>
      </c>
      <c r="BJ768" t="s">
        <v>10364</v>
      </c>
      <c r="BK768" t="s">
        <v>170</v>
      </c>
      <c r="BL768" t="s">
        <v>10365</v>
      </c>
      <c r="BM768" t="s">
        <v>10526</v>
      </c>
      <c r="BN768" t="s">
        <v>74</v>
      </c>
      <c r="BO768" t="s">
        <v>173</v>
      </c>
      <c r="BP768" t="s">
        <v>74</v>
      </c>
      <c r="BQ768" t="s">
        <v>74</v>
      </c>
      <c r="BR768" t="s">
        <v>107</v>
      </c>
      <c r="BS768" t="s">
        <v>10527</v>
      </c>
      <c r="BT768" t="str">
        <f>HYPERLINK("https%3A%2F%2Fwww.webofscience.com%2Fwos%2Fwoscc%2Ffull-record%2FWOS:000178457600007","View Full Record in Web of Science")</f>
        <v>View Full Record in Web of Science</v>
      </c>
    </row>
    <row r="769" spans="1:72" x14ac:dyDescent="0.15">
      <c r="A769" t="s">
        <v>72</v>
      </c>
      <c r="B769" t="s">
        <v>10528</v>
      </c>
      <c r="C769" t="s">
        <v>74</v>
      </c>
      <c r="D769" t="s">
        <v>74</v>
      </c>
      <c r="E769" t="s">
        <v>74</v>
      </c>
      <c r="F769" t="s">
        <v>10528</v>
      </c>
      <c r="G769" t="s">
        <v>74</v>
      </c>
      <c r="H769" t="s">
        <v>74</v>
      </c>
      <c r="I769" t="s">
        <v>10529</v>
      </c>
      <c r="J769" t="s">
        <v>10352</v>
      </c>
      <c r="K769" t="s">
        <v>74</v>
      </c>
      <c r="L769" t="s">
        <v>74</v>
      </c>
      <c r="M769" t="s">
        <v>77</v>
      </c>
      <c r="N769" t="s">
        <v>153</v>
      </c>
      <c r="O769" t="s">
        <v>74</v>
      </c>
      <c r="P769" t="s">
        <v>74</v>
      </c>
      <c r="Q769" t="s">
        <v>74</v>
      </c>
      <c r="R769" t="s">
        <v>74</v>
      </c>
      <c r="S769" t="s">
        <v>74</v>
      </c>
      <c r="T769" t="s">
        <v>10530</v>
      </c>
      <c r="U769" t="s">
        <v>10531</v>
      </c>
      <c r="V769" t="s">
        <v>10532</v>
      </c>
      <c r="W769" t="s">
        <v>10533</v>
      </c>
      <c r="X769" t="s">
        <v>10534</v>
      </c>
      <c r="Y769" t="s">
        <v>10535</v>
      </c>
      <c r="Z769" t="s">
        <v>10536</v>
      </c>
      <c r="AA769" t="s">
        <v>10537</v>
      </c>
      <c r="AB769" t="s">
        <v>10538</v>
      </c>
      <c r="AC769" t="s">
        <v>74</v>
      </c>
      <c r="AD769" t="s">
        <v>74</v>
      </c>
      <c r="AE769" t="s">
        <v>74</v>
      </c>
      <c r="AF769" t="s">
        <v>74</v>
      </c>
      <c r="AG769">
        <v>41</v>
      </c>
      <c r="AH769">
        <v>53</v>
      </c>
      <c r="AI769">
        <v>55</v>
      </c>
      <c r="AJ769">
        <v>0</v>
      </c>
      <c r="AK769">
        <v>12</v>
      </c>
      <c r="AL769" t="s">
        <v>523</v>
      </c>
      <c r="AM769" t="s">
        <v>524</v>
      </c>
      <c r="AN769" t="s">
        <v>525</v>
      </c>
      <c r="AO769" t="s">
        <v>10359</v>
      </c>
      <c r="AP769" t="s">
        <v>10360</v>
      </c>
      <c r="AQ769" t="s">
        <v>74</v>
      </c>
      <c r="AR769" t="s">
        <v>10361</v>
      </c>
      <c r="AS769" t="s">
        <v>10362</v>
      </c>
      <c r="AT769" t="s">
        <v>74</v>
      </c>
      <c r="AU769">
        <v>2002</v>
      </c>
      <c r="AV769">
        <v>240</v>
      </c>
      <c r="AW769" t="s">
        <v>74</v>
      </c>
      <c r="AX769" t="s">
        <v>74</v>
      </c>
      <c r="AY769" t="s">
        <v>74</v>
      </c>
      <c r="AZ769" t="s">
        <v>74</v>
      </c>
      <c r="BA769" t="s">
        <v>74</v>
      </c>
      <c r="BB769">
        <v>183</v>
      </c>
      <c r="BC769">
        <v>194</v>
      </c>
      <c r="BD769" t="s">
        <v>74</v>
      </c>
      <c r="BE769" t="s">
        <v>10539</v>
      </c>
      <c r="BF769" t="str">
        <f>HYPERLINK("http://dx.doi.org/10.3354/meps240183","http://dx.doi.org/10.3354/meps240183")</f>
        <v>http://dx.doi.org/10.3354/meps240183</v>
      </c>
      <c r="BG769" t="s">
        <v>74</v>
      </c>
      <c r="BH769" t="s">
        <v>74</v>
      </c>
      <c r="BI769">
        <v>12</v>
      </c>
      <c r="BJ769" t="s">
        <v>10364</v>
      </c>
      <c r="BK769" t="s">
        <v>170</v>
      </c>
      <c r="BL769" t="s">
        <v>10365</v>
      </c>
      <c r="BM769" t="s">
        <v>10526</v>
      </c>
      <c r="BN769" t="s">
        <v>74</v>
      </c>
      <c r="BO769" t="s">
        <v>1682</v>
      </c>
      <c r="BP769" t="s">
        <v>74</v>
      </c>
      <c r="BQ769" t="s">
        <v>74</v>
      </c>
      <c r="BR769" t="s">
        <v>107</v>
      </c>
      <c r="BS769" t="s">
        <v>10540</v>
      </c>
      <c r="BT769" t="str">
        <f>HYPERLINK("https%3A%2F%2Fwww.webofscience.com%2Fwos%2Fwoscc%2Ffull-record%2FWOS:000178457600017","View Full Record in Web of Science")</f>
        <v>View Full Record in Web of Science</v>
      </c>
    </row>
    <row r="770" spans="1:72" x14ac:dyDescent="0.15">
      <c r="A770" t="s">
        <v>72</v>
      </c>
      <c r="B770" t="s">
        <v>10541</v>
      </c>
      <c r="C770" t="s">
        <v>74</v>
      </c>
      <c r="D770" t="s">
        <v>74</v>
      </c>
      <c r="E770" t="s">
        <v>74</v>
      </c>
      <c r="F770" t="s">
        <v>10541</v>
      </c>
      <c r="G770" t="s">
        <v>74</v>
      </c>
      <c r="H770" t="s">
        <v>74</v>
      </c>
      <c r="I770" t="s">
        <v>10542</v>
      </c>
      <c r="J770" t="s">
        <v>10352</v>
      </c>
      <c r="K770" t="s">
        <v>74</v>
      </c>
      <c r="L770" t="s">
        <v>74</v>
      </c>
      <c r="M770" t="s">
        <v>77</v>
      </c>
      <c r="N770" t="s">
        <v>153</v>
      </c>
      <c r="O770" t="s">
        <v>74</v>
      </c>
      <c r="P770" t="s">
        <v>74</v>
      </c>
      <c r="Q770" t="s">
        <v>74</v>
      </c>
      <c r="R770" t="s">
        <v>74</v>
      </c>
      <c r="S770" t="s">
        <v>74</v>
      </c>
      <c r="T770" t="s">
        <v>10543</v>
      </c>
      <c r="U770" t="s">
        <v>10544</v>
      </c>
      <c r="V770" t="s">
        <v>10545</v>
      </c>
      <c r="W770" t="s">
        <v>10546</v>
      </c>
      <c r="X770" t="s">
        <v>74</v>
      </c>
      <c r="Y770" t="s">
        <v>74</v>
      </c>
      <c r="Z770" t="s">
        <v>10547</v>
      </c>
      <c r="AA770" t="s">
        <v>74</v>
      </c>
      <c r="AB770" t="s">
        <v>7745</v>
      </c>
      <c r="AC770" t="s">
        <v>74</v>
      </c>
      <c r="AD770" t="s">
        <v>74</v>
      </c>
      <c r="AE770" t="s">
        <v>74</v>
      </c>
      <c r="AF770" t="s">
        <v>74</v>
      </c>
      <c r="AG770">
        <v>46</v>
      </c>
      <c r="AH770">
        <v>42</v>
      </c>
      <c r="AI770">
        <v>45</v>
      </c>
      <c r="AJ770">
        <v>1</v>
      </c>
      <c r="AK770">
        <v>18</v>
      </c>
      <c r="AL770" t="s">
        <v>523</v>
      </c>
      <c r="AM770" t="s">
        <v>524</v>
      </c>
      <c r="AN770" t="s">
        <v>525</v>
      </c>
      <c r="AO770" t="s">
        <v>10359</v>
      </c>
      <c r="AP770" t="s">
        <v>10360</v>
      </c>
      <c r="AQ770" t="s">
        <v>74</v>
      </c>
      <c r="AR770" t="s">
        <v>10361</v>
      </c>
      <c r="AS770" t="s">
        <v>10362</v>
      </c>
      <c r="AT770" t="s">
        <v>74</v>
      </c>
      <c r="AU770">
        <v>2002</v>
      </c>
      <c r="AV770">
        <v>240</v>
      </c>
      <c r="AW770" t="s">
        <v>74</v>
      </c>
      <c r="AX770" t="s">
        <v>74</v>
      </c>
      <c r="AY770" t="s">
        <v>74</v>
      </c>
      <c r="AZ770" t="s">
        <v>74</v>
      </c>
      <c r="BA770" t="s">
        <v>74</v>
      </c>
      <c r="BB770">
        <v>273</v>
      </c>
      <c r="BC770">
        <v>284</v>
      </c>
      <c r="BD770" t="s">
        <v>74</v>
      </c>
      <c r="BE770" t="s">
        <v>10548</v>
      </c>
      <c r="BF770" t="str">
        <f>HYPERLINK("http://dx.doi.org/10.3354/meps240273","http://dx.doi.org/10.3354/meps240273")</f>
        <v>http://dx.doi.org/10.3354/meps240273</v>
      </c>
      <c r="BG770" t="s">
        <v>74</v>
      </c>
      <c r="BH770" t="s">
        <v>74</v>
      </c>
      <c r="BI770">
        <v>12</v>
      </c>
      <c r="BJ770" t="s">
        <v>10364</v>
      </c>
      <c r="BK770" t="s">
        <v>170</v>
      </c>
      <c r="BL770" t="s">
        <v>10365</v>
      </c>
      <c r="BM770" t="s">
        <v>10526</v>
      </c>
      <c r="BN770" t="s">
        <v>74</v>
      </c>
      <c r="BO770" t="s">
        <v>10118</v>
      </c>
      <c r="BP770" t="s">
        <v>74</v>
      </c>
      <c r="BQ770" t="s">
        <v>74</v>
      </c>
      <c r="BR770" t="s">
        <v>107</v>
      </c>
      <c r="BS770" t="s">
        <v>10549</v>
      </c>
      <c r="BT770" t="str">
        <f>HYPERLINK("https%3A%2F%2Fwww.webofscience.com%2Fwos%2Fwoscc%2Ffull-record%2FWOS:000178457600025","View Full Record in Web of Science")</f>
        <v>View Full Record in Web of Science</v>
      </c>
    </row>
    <row r="771" spans="1:72" x14ac:dyDescent="0.15">
      <c r="A771" t="s">
        <v>72</v>
      </c>
      <c r="B771" t="s">
        <v>10550</v>
      </c>
      <c r="C771" t="s">
        <v>74</v>
      </c>
      <c r="D771" t="s">
        <v>74</v>
      </c>
      <c r="E771" t="s">
        <v>74</v>
      </c>
      <c r="F771" t="s">
        <v>10550</v>
      </c>
      <c r="G771" t="s">
        <v>74</v>
      </c>
      <c r="H771" t="s">
        <v>74</v>
      </c>
      <c r="I771" t="s">
        <v>10551</v>
      </c>
      <c r="J771" t="s">
        <v>10352</v>
      </c>
      <c r="K771" t="s">
        <v>74</v>
      </c>
      <c r="L771" t="s">
        <v>74</v>
      </c>
      <c r="M771" t="s">
        <v>77</v>
      </c>
      <c r="N771" t="s">
        <v>153</v>
      </c>
      <c r="O771" t="s">
        <v>74</v>
      </c>
      <c r="P771" t="s">
        <v>74</v>
      </c>
      <c r="Q771" t="s">
        <v>74</v>
      </c>
      <c r="R771" t="s">
        <v>74</v>
      </c>
      <c r="S771" t="s">
        <v>74</v>
      </c>
      <c r="T771" t="s">
        <v>10552</v>
      </c>
      <c r="U771" t="s">
        <v>10553</v>
      </c>
      <c r="V771" t="s">
        <v>10554</v>
      </c>
      <c r="W771" t="s">
        <v>10555</v>
      </c>
      <c r="X771" t="s">
        <v>1164</v>
      </c>
      <c r="Y771" t="s">
        <v>10556</v>
      </c>
      <c r="Z771" t="s">
        <v>10557</v>
      </c>
      <c r="AA771" t="s">
        <v>74</v>
      </c>
      <c r="AB771" t="s">
        <v>74</v>
      </c>
      <c r="AC771" t="s">
        <v>74</v>
      </c>
      <c r="AD771" t="s">
        <v>74</v>
      </c>
      <c r="AE771" t="s">
        <v>74</v>
      </c>
      <c r="AF771" t="s">
        <v>74</v>
      </c>
      <c r="AG771">
        <v>30</v>
      </c>
      <c r="AH771">
        <v>12</v>
      </c>
      <c r="AI771">
        <v>16</v>
      </c>
      <c r="AJ771">
        <v>0</v>
      </c>
      <c r="AK771">
        <v>8</v>
      </c>
      <c r="AL771" t="s">
        <v>523</v>
      </c>
      <c r="AM771" t="s">
        <v>524</v>
      </c>
      <c r="AN771" t="s">
        <v>525</v>
      </c>
      <c r="AO771" t="s">
        <v>10359</v>
      </c>
      <c r="AP771" t="s">
        <v>74</v>
      </c>
      <c r="AQ771" t="s">
        <v>74</v>
      </c>
      <c r="AR771" t="s">
        <v>10361</v>
      </c>
      <c r="AS771" t="s">
        <v>10362</v>
      </c>
      <c r="AT771" t="s">
        <v>74</v>
      </c>
      <c r="AU771">
        <v>2002</v>
      </c>
      <c r="AV771">
        <v>239</v>
      </c>
      <c r="AW771" t="s">
        <v>74</v>
      </c>
      <c r="AX771" t="s">
        <v>74</v>
      </c>
      <c r="AY771" t="s">
        <v>74</v>
      </c>
      <c r="AZ771" t="s">
        <v>74</v>
      </c>
      <c r="BA771" t="s">
        <v>74</v>
      </c>
      <c r="BB771">
        <v>157</v>
      </c>
      <c r="BC771">
        <v>167</v>
      </c>
      <c r="BD771" t="s">
        <v>74</v>
      </c>
      <c r="BE771" t="s">
        <v>10558</v>
      </c>
      <c r="BF771" t="str">
        <f>HYPERLINK("http://dx.doi.org/10.3354/meps239157","http://dx.doi.org/10.3354/meps239157")</f>
        <v>http://dx.doi.org/10.3354/meps239157</v>
      </c>
      <c r="BG771" t="s">
        <v>74</v>
      </c>
      <c r="BH771" t="s">
        <v>74</v>
      </c>
      <c r="BI771">
        <v>11</v>
      </c>
      <c r="BJ771" t="s">
        <v>10364</v>
      </c>
      <c r="BK771" t="s">
        <v>170</v>
      </c>
      <c r="BL771" t="s">
        <v>10365</v>
      </c>
      <c r="BM771" t="s">
        <v>10559</v>
      </c>
      <c r="BN771" t="s">
        <v>74</v>
      </c>
      <c r="BO771" t="s">
        <v>173</v>
      </c>
      <c r="BP771" t="s">
        <v>74</v>
      </c>
      <c r="BQ771" t="s">
        <v>74</v>
      </c>
      <c r="BR771" t="s">
        <v>107</v>
      </c>
      <c r="BS771" t="s">
        <v>10560</v>
      </c>
      <c r="BT771" t="str">
        <f>HYPERLINK("https%3A%2F%2Fwww.webofscience.com%2Fwos%2Fwoscc%2Ffull-record%2FWOS:000178175000015","View Full Record in Web of Science")</f>
        <v>View Full Record in Web of Science</v>
      </c>
    </row>
    <row r="772" spans="1:72" x14ac:dyDescent="0.15">
      <c r="A772" t="s">
        <v>72</v>
      </c>
      <c r="B772" t="s">
        <v>10561</v>
      </c>
      <c r="C772" t="s">
        <v>74</v>
      </c>
      <c r="D772" t="s">
        <v>74</v>
      </c>
      <c r="E772" t="s">
        <v>74</v>
      </c>
      <c r="F772" t="s">
        <v>10561</v>
      </c>
      <c r="G772" t="s">
        <v>74</v>
      </c>
      <c r="H772" t="s">
        <v>74</v>
      </c>
      <c r="I772" t="s">
        <v>10562</v>
      </c>
      <c r="J772" t="s">
        <v>10352</v>
      </c>
      <c r="K772" t="s">
        <v>74</v>
      </c>
      <c r="L772" t="s">
        <v>74</v>
      </c>
      <c r="M772" t="s">
        <v>77</v>
      </c>
      <c r="N772" t="s">
        <v>153</v>
      </c>
      <c r="O772" t="s">
        <v>74</v>
      </c>
      <c r="P772" t="s">
        <v>74</v>
      </c>
      <c r="Q772" t="s">
        <v>74</v>
      </c>
      <c r="R772" t="s">
        <v>74</v>
      </c>
      <c r="S772" t="s">
        <v>74</v>
      </c>
      <c r="T772" t="s">
        <v>10563</v>
      </c>
      <c r="U772" t="s">
        <v>10564</v>
      </c>
      <c r="V772" t="s">
        <v>10565</v>
      </c>
      <c r="W772" t="s">
        <v>10566</v>
      </c>
      <c r="X772" t="s">
        <v>10567</v>
      </c>
      <c r="Y772" t="s">
        <v>10568</v>
      </c>
      <c r="Z772" t="s">
        <v>10569</v>
      </c>
      <c r="AA772" t="s">
        <v>10570</v>
      </c>
      <c r="AB772" t="s">
        <v>10571</v>
      </c>
      <c r="AC772" t="s">
        <v>74</v>
      </c>
      <c r="AD772" t="s">
        <v>74</v>
      </c>
      <c r="AE772" t="s">
        <v>74</v>
      </c>
      <c r="AF772" t="s">
        <v>74</v>
      </c>
      <c r="AG772">
        <v>41</v>
      </c>
      <c r="AH772">
        <v>71</v>
      </c>
      <c r="AI772">
        <v>76</v>
      </c>
      <c r="AJ772">
        <v>0</v>
      </c>
      <c r="AK772">
        <v>25</v>
      </c>
      <c r="AL772" t="s">
        <v>523</v>
      </c>
      <c r="AM772" t="s">
        <v>524</v>
      </c>
      <c r="AN772" t="s">
        <v>525</v>
      </c>
      <c r="AO772" t="s">
        <v>10359</v>
      </c>
      <c r="AP772" t="s">
        <v>10360</v>
      </c>
      <c r="AQ772" t="s">
        <v>74</v>
      </c>
      <c r="AR772" t="s">
        <v>10361</v>
      </c>
      <c r="AS772" t="s">
        <v>10362</v>
      </c>
      <c r="AT772" t="s">
        <v>74</v>
      </c>
      <c r="AU772">
        <v>2002</v>
      </c>
      <c r="AV772">
        <v>238</v>
      </c>
      <c r="AW772" t="s">
        <v>74</v>
      </c>
      <c r="AX772" t="s">
        <v>74</v>
      </c>
      <c r="AY772" t="s">
        <v>74</v>
      </c>
      <c r="AZ772" t="s">
        <v>74</v>
      </c>
      <c r="BA772" t="s">
        <v>74</v>
      </c>
      <c r="BB772">
        <v>1</v>
      </c>
      <c r="BC772">
        <v>13</v>
      </c>
      <c r="BD772" t="s">
        <v>74</v>
      </c>
      <c r="BE772" t="s">
        <v>10572</v>
      </c>
      <c r="BF772" t="str">
        <f>HYPERLINK("http://dx.doi.org/10.3354/meps238001","http://dx.doi.org/10.3354/meps238001")</f>
        <v>http://dx.doi.org/10.3354/meps238001</v>
      </c>
      <c r="BG772" t="s">
        <v>74</v>
      </c>
      <c r="BH772" t="s">
        <v>74</v>
      </c>
      <c r="BI772">
        <v>13</v>
      </c>
      <c r="BJ772" t="s">
        <v>10364</v>
      </c>
      <c r="BK772" t="s">
        <v>170</v>
      </c>
      <c r="BL772" t="s">
        <v>10365</v>
      </c>
      <c r="BM772" t="s">
        <v>10573</v>
      </c>
      <c r="BN772" t="s">
        <v>74</v>
      </c>
      <c r="BO772" t="s">
        <v>173</v>
      </c>
      <c r="BP772" t="s">
        <v>74</v>
      </c>
      <c r="BQ772" t="s">
        <v>74</v>
      </c>
      <c r="BR772" t="s">
        <v>107</v>
      </c>
      <c r="BS772" t="s">
        <v>10574</v>
      </c>
      <c r="BT772" t="str">
        <f>HYPERLINK("https%3A%2F%2Fwww.webofscience.com%2Fwos%2Fwoscc%2Ffull-record%2FWOS:000177788200001","View Full Record in Web of Science")</f>
        <v>View Full Record in Web of Science</v>
      </c>
    </row>
    <row r="773" spans="1:72" x14ac:dyDescent="0.15">
      <c r="A773" t="s">
        <v>72</v>
      </c>
      <c r="B773" t="s">
        <v>3206</v>
      </c>
      <c r="C773" t="s">
        <v>74</v>
      </c>
      <c r="D773" t="s">
        <v>74</v>
      </c>
      <c r="E773" t="s">
        <v>74</v>
      </c>
      <c r="F773" t="s">
        <v>3206</v>
      </c>
      <c r="G773" t="s">
        <v>74</v>
      </c>
      <c r="H773" t="s">
        <v>74</v>
      </c>
      <c r="I773" t="s">
        <v>10575</v>
      </c>
      <c r="J773" t="s">
        <v>10352</v>
      </c>
      <c r="K773" t="s">
        <v>74</v>
      </c>
      <c r="L773" t="s">
        <v>74</v>
      </c>
      <c r="M773" t="s">
        <v>77</v>
      </c>
      <c r="N773" t="s">
        <v>153</v>
      </c>
      <c r="O773" t="s">
        <v>74</v>
      </c>
      <c r="P773" t="s">
        <v>74</v>
      </c>
      <c r="Q773" t="s">
        <v>74</v>
      </c>
      <c r="R773" t="s">
        <v>74</v>
      </c>
      <c r="S773" t="s">
        <v>74</v>
      </c>
      <c r="T773" t="s">
        <v>10576</v>
      </c>
      <c r="U773" t="s">
        <v>10577</v>
      </c>
      <c r="V773" t="s">
        <v>10578</v>
      </c>
      <c r="W773" t="s">
        <v>10579</v>
      </c>
      <c r="X773" t="s">
        <v>10580</v>
      </c>
      <c r="Y773" t="s">
        <v>10581</v>
      </c>
      <c r="Z773" t="s">
        <v>3213</v>
      </c>
      <c r="AA773" t="s">
        <v>74</v>
      </c>
      <c r="AB773" t="s">
        <v>74</v>
      </c>
      <c r="AC773" t="s">
        <v>74</v>
      </c>
      <c r="AD773" t="s">
        <v>74</v>
      </c>
      <c r="AE773" t="s">
        <v>74</v>
      </c>
      <c r="AF773" t="s">
        <v>74</v>
      </c>
      <c r="AG773">
        <v>35</v>
      </c>
      <c r="AH773">
        <v>13</v>
      </c>
      <c r="AI773">
        <v>17</v>
      </c>
      <c r="AJ773">
        <v>1</v>
      </c>
      <c r="AK773">
        <v>13</v>
      </c>
      <c r="AL773" t="s">
        <v>523</v>
      </c>
      <c r="AM773" t="s">
        <v>524</v>
      </c>
      <c r="AN773" t="s">
        <v>525</v>
      </c>
      <c r="AO773" t="s">
        <v>10359</v>
      </c>
      <c r="AP773" t="s">
        <v>10360</v>
      </c>
      <c r="AQ773" t="s">
        <v>74</v>
      </c>
      <c r="AR773" t="s">
        <v>10361</v>
      </c>
      <c r="AS773" t="s">
        <v>10362</v>
      </c>
      <c r="AT773" t="s">
        <v>74</v>
      </c>
      <c r="AU773">
        <v>2002</v>
      </c>
      <c r="AV773">
        <v>238</v>
      </c>
      <c r="AW773" t="s">
        <v>74</v>
      </c>
      <c r="AX773" t="s">
        <v>74</v>
      </c>
      <c r="AY773" t="s">
        <v>74</v>
      </c>
      <c r="AZ773" t="s">
        <v>74</v>
      </c>
      <c r="BA773" t="s">
        <v>74</v>
      </c>
      <c r="BB773">
        <v>163</v>
      </c>
      <c r="BC773">
        <v>172</v>
      </c>
      <c r="BD773" t="s">
        <v>74</v>
      </c>
      <c r="BE773" t="s">
        <v>10582</v>
      </c>
      <c r="BF773" t="str">
        <f>HYPERLINK("http://dx.doi.org/10.3354/meps238163","http://dx.doi.org/10.3354/meps238163")</f>
        <v>http://dx.doi.org/10.3354/meps238163</v>
      </c>
      <c r="BG773" t="s">
        <v>74</v>
      </c>
      <c r="BH773" t="s">
        <v>74</v>
      </c>
      <c r="BI773">
        <v>10</v>
      </c>
      <c r="BJ773" t="s">
        <v>10364</v>
      </c>
      <c r="BK773" t="s">
        <v>170</v>
      </c>
      <c r="BL773" t="s">
        <v>10365</v>
      </c>
      <c r="BM773" t="s">
        <v>10573</v>
      </c>
      <c r="BN773" t="s">
        <v>74</v>
      </c>
      <c r="BO773" t="s">
        <v>173</v>
      </c>
      <c r="BP773" t="s">
        <v>74</v>
      </c>
      <c r="BQ773" t="s">
        <v>74</v>
      </c>
      <c r="BR773" t="s">
        <v>107</v>
      </c>
      <c r="BS773" t="s">
        <v>10583</v>
      </c>
      <c r="BT773" t="str">
        <f>HYPERLINK("https%3A%2F%2Fwww.webofscience.com%2Fwos%2Fwoscc%2Ffull-record%2FWOS:000177788200015","View Full Record in Web of Science")</f>
        <v>View Full Record in Web of Science</v>
      </c>
    </row>
    <row r="774" spans="1:72" x14ac:dyDescent="0.15">
      <c r="A774" t="s">
        <v>72</v>
      </c>
      <c r="B774" t="s">
        <v>10584</v>
      </c>
      <c r="C774" t="s">
        <v>74</v>
      </c>
      <c r="D774" t="s">
        <v>74</v>
      </c>
      <c r="E774" t="s">
        <v>74</v>
      </c>
      <c r="F774" t="s">
        <v>10584</v>
      </c>
      <c r="G774" t="s">
        <v>74</v>
      </c>
      <c r="H774" t="s">
        <v>74</v>
      </c>
      <c r="I774" t="s">
        <v>10585</v>
      </c>
      <c r="J774" t="s">
        <v>10352</v>
      </c>
      <c r="K774" t="s">
        <v>74</v>
      </c>
      <c r="L774" t="s">
        <v>74</v>
      </c>
      <c r="M774" t="s">
        <v>77</v>
      </c>
      <c r="N774" t="s">
        <v>153</v>
      </c>
      <c r="O774" t="s">
        <v>74</v>
      </c>
      <c r="P774" t="s">
        <v>74</v>
      </c>
      <c r="Q774" t="s">
        <v>74</v>
      </c>
      <c r="R774" t="s">
        <v>74</v>
      </c>
      <c r="S774" t="s">
        <v>74</v>
      </c>
      <c r="T774" t="s">
        <v>10586</v>
      </c>
      <c r="U774" t="s">
        <v>10587</v>
      </c>
      <c r="V774" t="s">
        <v>10588</v>
      </c>
      <c r="W774" t="s">
        <v>10589</v>
      </c>
      <c r="X774" t="s">
        <v>852</v>
      </c>
      <c r="Y774" t="s">
        <v>10590</v>
      </c>
      <c r="Z774" t="s">
        <v>10591</v>
      </c>
      <c r="AA774" t="s">
        <v>74</v>
      </c>
      <c r="AB774" t="s">
        <v>74</v>
      </c>
      <c r="AC774" t="s">
        <v>74</v>
      </c>
      <c r="AD774" t="s">
        <v>74</v>
      </c>
      <c r="AE774" t="s">
        <v>74</v>
      </c>
      <c r="AF774" t="s">
        <v>74</v>
      </c>
      <c r="AG774">
        <v>69</v>
      </c>
      <c r="AH774">
        <v>100</v>
      </c>
      <c r="AI774">
        <v>108</v>
      </c>
      <c r="AJ774">
        <v>2</v>
      </c>
      <c r="AK774">
        <v>35</v>
      </c>
      <c r="AL774" t="s">
        <v>523</v>
      </c>
      <c r="AM774" t="s">
        <v>524</v>
      </c>
      <c r="AN774" t="s">
        <v>525</v>
      </c>
      <c r="AO774" t="s">
        <v>10359</v>
      </c>
      <c r="AP774" t="s">
        <v>10360</v>
      </c>
      <c r="AQ774" t="s">
        <v>74</v>
      </c>
      <c r="AR774" t="s">
        <v>10361</v>
      </c>
      <c r="AS774" t="s">
        <v>10362</v>
      </c>
      <c r="AT774" t="s">
        <v>74</v>
      </c>
      <c r="AU774">
        <v>2002</v>
      </c>
      <c r="AV774">
        <v>236</v>
      </c>
      <c r="AW774" t="s">
        <v>74</v>
      </c>
      <c r="AX774" t="s">
        <v>74</v>
      </c>
      <c r="AY774" t="s">
        <v>74</v>
      </c>
      <c r="AZ774" t="s">
        <v>74</v>
      </c>
      <c r="BA774" t="s">
        <v>74</v>
      </c>
      <c r="BB774">
        <v>189</v>
      </c>
      <c r="BC774">
        <v>203</v>
      </c>
      <c r="BD774" t="s">
        <v>74</v>
      </c>
      <c r="BE774" t="s">
        <v>10592</v>
      </c>
      <c r="BF774" t="str">
        <f>HYPERLINK("http://dx.doi.org/10.3354/meps236189","http://dx.doi.org/10.3354/meps236189")</f>
        <v>http://dx.doi.org/10.3354/meps236189</v>
      </c>
      <c r="BG774" t="s">
        <v>74</v>
      </c>
      <c r="BH774" t="s">
        <v>74</v>
      </c>
      <c r="BI774">
        <v>15</v>
      </c>
      <c r="BJ774" t="s">
        <v>10364</v>
      </c>
      <c r="BK774" t="s">
        <v>170</v>
      </c>
      <c r="BL774" t="s">
        <v>10365</v>
      </c>
      <c r="BM774" t="s">
        <v>10593</v>
      </c>
      <c r="BN774" t="s">
        <v>74</v>
      </c>
      <c r="BO774" t="s">
        <v>10118</v>
      </c>
      <c r="BP774" t="s">
        <v>74</v>
      </c>
      <c r="BQ774" t="s">
        <v>74</v>
      </c>
      <c r="BR774" t="s">
        <v>107</v>
      </c>
      <c r="BS774" t="s">
        <v>10594</v>
      </c>
      <c r="BT774" t="str">
        <f>HYPERLINK("https%3A%2F%2Fwww.webofscience.com%2Fwos%2Fwoscc%2Ffull-record%2FWOS:000177007100018","View Full Record in Web of Science")</f>
        <v>View Full Record in Web of Science</v>
      </c>
    </row>
    <row r="775" spans="1:72" x14ac:dyDescent="0.15">
      <c r="A775" t="s">
        <v>72</v>
      </c>
      <c r="B775" t="s">
        <v>10595</v>
      </c>
      <c r="C775" t="s">
        <v>74</v>
      </c>
      <c r="D775" t="s">
        <v>74</v>
      </c>
      <c r="E775" t="s">
        <v>74</v>
      </c>
      <c r="F775" t="s">
        <v>10595</v>
      </c>
      <c r="G775" t="s">
        <v>74</v>
      </c>
      <c r="H775" t="s">
        <v>74</v>
      </c>
      <c r="I775" t="s">
        <v>10596</v>
      </c>
      <c r="J775" t="s">
        <v>10352</v>
      </c>
      <c r="K775" t="s">
        <v>74</v>
      </c>
      <c r="L775" t="s">
        <v>74</v>
      </c>
      <c r="M775" t="s">
        <v>77</v>
      </c>
      <c r="N775" t="s">
        <v>153</v>
      </c>
      <c r="O775" t="s">
        <v>74</v>
      </c>
      <c r="P775" t="s">
        <v>74</v>
      </c>
      <c r="Q775" t="s">
        <v>74</v>
      </c>
      <c r="R775" t="s">
        <v>74</v>
      </c>
      <c r="S775" t="s">
        <v>74</v>
      </c>
      <c r="T775" t="s">
        <v>10597</v>
      </c>
      <c r="U775" t="s">
        <v>10598</v>
      </c>
      <c r="V775" t="s">
        <v>10599</v>
      </c>
      <c r="W775" t="s">
        <v>10600</v>
      </c>
      <c r="X775" t="s">
        <v>10601</v>
      </c>
      <c r="Y775" t="s">
        <v>10602</v>
      </c>
      <c r="Z775" t="s">
        <v>10603</v>
      </c>
      <c r="AA775" t="s">
        <v>74</v>
      </c>
      <c r="AB775" t="s">
        <v>74</v>
      </c>
      <c r="AC775" t="s">
        <v>74</v>
      </c>
      <c r="AD775" t="s">
        <v>74</v>
      </c>
      <c r="AE775" t="s">
        <v>74</v>
      </c>
      <c r="AF775" t="s">
        <v>74</v>
      </c>
      <c r="AG775">
        <v>60</v>
      </c>
      <c r="AH775">
        <v>51</v>
      </c>
      <c r="AI775">
        <v>60</v>
      </c>
      <c r="AJ775">
        <v>0</v>
      </c>
      <c r="AK775">
        <v>17</v>
      </c>
      <c r="AL775" t="s">
        <v>523</v>
      </c>
      <c r="AM775" t="s">
        <v>524</v>
      </c>
      <c r="AN775" t="s">
        <v>525</v>
      </c>
      <c r="AO775" t="s">
        <v>10359</v>
      </c>
      <c r="AP775" t="s">
        <v>74</v>
      </c>
      <c r="AQ775" t="s">
        <v>74</v>
      </c>
      <c r="AR775" t="s">
        <v>10361</v>
      </c>
      <c r="AS775" t="s">
        <v>10362</v>
      </c>
      <c r="AT775" t="s">
        <v>74</v>
      </c>
      <c r="AU775">
        <v>2002</v>
      </c>
      <c r="AV775">
        <v>235</v>
      </c>
      <c r="AW775" t="s">
        <v>74</v>
      </c>
      <c r="AX775" t="s">
        <v>74</v>
      </c>
      <c r="AY775" t="s">
        <v>74</v>
      </c>
      <c r="AZ775" t="s">
        <v>74</v>
      </c>
      <c r="BA775" t="s">
        <v>74</v>
      </c>
      <c r="BB775">
        <v>1</v>
      </c>
      <c r="BC775">
        <v>13</v>
      </c>
      <c r="BD775" t="s">
        <v>74</v>
      </c>
      <c r="BE775" t="s">
        <v>10604</v>
      </c>
      <c r="BF775" t="str">
        <f>HYPERLINK("http://dx.doi.org/10.3354/meps235001","http://dx.doi.org/10.3354/meps235001")</f>
        <v>http://dx.doi.org/10.3354/meps235001</v>
      </c>
      <c r="BG775" t="s">
        <v>74</v>
      </c>
      <c r="BH775" t="s">
        <v>74</v>
      </c>
      <c r="BI775">
        <v>13</v>
      </c>
      <c r="BJ775" t="s">
        <v>10364</v>
      </c>
      <c r="BK775" t="s">
        <v>170</v>
      </c>
      <c r="BL775" t="s">
        <v>10365</v>
      </c>
      <c r="BM775" t="s">
        <v>10605</v>
      </c>
      <c r="BN775" t="s">
        <v>74</v>
      </c>
      <c r="BO775" t="s">
        <v>173</v>
      </c>
      <c r="BP775" t="s">
        <v>74</v>
      </c>
      <c r="BQ775" t="s">
        <v>74</v>
      </c>
      <c r="BR775" t="s">
        <v>107</v>
      </c>
      <c r="BS775" t="s">
        <v>10606</v>
      </c>
      <c r="BT775" t="str">
        <f>HYPERLINK("https%3A%2F%2Fwww.webofscience.com%2Fwos%2Fwoscc%2Ffull-record%2FWOS:000176988400001","View Full Record in Web of Science")</f>
        <v>View Full Record in Web of Science</v>
      </c>
    </row>
    <row r="776" spans="1:72" x14ac:dyDescent="0.15">
      <c r="A776" t="s">
        <v>72</v>
      </c>
      <c r="B776" t="s">
        <v>10607</v>
      </c>
      <c r="C776" t="s">
        <v>74</v>
      </c>
      <c r="D776" t="s">
        <v>74</v>
      </c>
      <c r="E776" t="s">
        <v>74</v>
      </c>
      <c r="F776" t="s">
        <v>10607</v>
      </c>
      <c r="G776" t="s">
        <v>74</v>
      </c>
      <c r="H776" t="s">
        <v>74</v>
      </c>
      <c r="I776" t="s">
        <v>10608</v>
      </c>
      <c r="J776" t="s">
        <v>10352</v>
      </c>
      <c r="K776" t="s">
        <v>74</v>
      </c>
      <c r="L776" t="s">
        <v>74</v>
      </c>
      <c r="M776" t="s">
        <v>77</v>
      </c>
      <c r="N776" t="s">
        <v>153</v>
      </c>
      <c r="O776" t="s">
        <v>74</v>
      </c>
      <c r="P776" t="s">
        <v>74</v>
      </c>
      <c r="Q776" t="s">
        <v>74</v>
      </c>
      <c r="R776" t="s">
        <v>74</v>
      </c>
      <c r="S776" t="s">
        <v>74</v>
      </c>
      <c r="T776" t="s">
        <v>10609</v>
      </c>
      <c r="U776" t="s">
        <v>10610</v>
      </c>
      <c r="V776" t="s">
        <v>10611</v>
      </c>
      <c r="W776" t="s">
        <v>851</v>
      </c>
      <c r="X776" t="s">
        <v>852</v>
      </c>
      <c r="Y776" t="s">
        <v>268</v>
      </c>
      <c r="Z776" t="s">
        <v>10612</v>
      </c>
      <c r="AA776" t="s">
        <v>10613</v>
      </c>
      <c r="AB776" t="s">
        <v>74</v>
      </c>
      <c r="AC776" t="s">
        <v>74</v>
      </c>
      <c r="AD776" t="s">
        <v>74</v>
      </c>
      <c r="AE776" t="s">
        <v>74</v>
      </c>
      <c r="AF776" t="s">
        <v>74</v>
      </c>
      <c r="AG776">
        <v>67</v>
      </c>
      <c r="AH776">
        <v>44</v>
      </c>
      <c r="AI776">
        <v>44</v>
      </c>
      <c r="AJ776">
        <v>0</v>
      </c>
      <c r="AK776">
        <v>11</v>
      </c>
      <c r="AL776" t="s">
        <v>523</v>
      </c>
      <c r="AM776" t="s">
        <v>524</v>
      </c>
      <c r="AN776" t="s">
        <v>525</v>
      </c>
      <c r="AO776" t="s">
        <v>10359</v>
      </c>
      <c r="AP776" t="s">
        <v>10360</v>
      </c>
      <c r="AQ776" t="s">
        <v>74</v>
      </c>
      <c r="AR776" t="s">
        <v>10361</v>
      </c>
      <c r="AS776" t="s">
        <v>10362</v>
      </c>
      <c r="AT776" t="s">
        <v>74</v>
      </c>
      <c r="AU776">
        <v>2002</v>
      </c>
      <c r="AV776">
        <v>233</v>
      </c>
      <c r="AW776" t="s">
        <v>74</v>
      </c>
      <c r="AX776" t="s">
        <v>74</v>
      </c>
      <c r="AY776" t="s">
        <v>74</v>
      </c>
      <c r="AZ776" t="s">
        <v>74</v>
      </c>
      <c r="BA776" t="s">
        <v>74</v>
      </c>
      <c r="BB776">
        <v>169</v>
      </c>
      <c r="BC776">
        <v>183</v>
      </c>
      <c r="BD776" t="s">
        <v>74</v>
      </c>
      <c r="BE776" t="s">
        <v>10614</v>
      </c>
      <c r="BF776" t="str">
        <f>HYPERLINK("http://dx.doi.org/10.3354/meps233169","http://dx.doi.org/10.3354/meps233169")</f>
        <v>http://dx.doi.org/10.3354/meps233169</v>
      </c>
      <c r="BG776" t="s">
        <v>74</v>
      </c>
      <c r="BH776" t="s">
        <v>74</v>
      </c>
      <c r="BI776">
        <v>15</v>
      </c>
      <c r="BJ776" t="s">
        <v>10364</v>
      </c>
      <c r="BK776" t="s">
        <v>170</v>
      </c>
      <c r="BL776" t="s">
        <v>10365</v>
      </c>
      <c r="BM776" t="s">
        <v>10615</v>
      </c>
      <c r="BN776" t="s">
        <v>74</v>
      </c>
      <c r="BO776" t="s">
        <v>10118</v>
      </c>
      <c r="BP776" t="s">
        <v>74</v>
      </c>
      <c r="BQ776" t="s">
        <v>74</v>
      </c>
      <c r="BR776" t="s">
        <v>107</v>
      </c>
      <c r="BS776" t="s">
        <v>10616</v>
      </c>
      <c r="BT776" t="str">
        <f>HYPERLINK("https%3A%2F%2Fwww.webofscience.com%2Fwos%2Fwoscc%2Ffull-record%2FWOS:000176283200014","View Full Record in Web of Science")</f>
        <v>View Full Record in Web of Science</v>
      </c>
    </row>
    <row r="777" spans="1:72" x14ac:dyDescent="0.15">
      <c r="A777" t="s">
        <v>72</v>
      </c>
      <c r="B777" t="s">
        <v>4059</v>
      </c>
      <c r="C777" t="s">
        <v>74</v>
      </c>
      <c r="D777" t="s">
        <v>74</v>
      </c>
      <c r="E777" t="s">
        <v>74</v>
      </c>
      <c r="F777" t="s">
        <v>4059</v>
      </c>
      <c r="G777" t="s">
        <v>74</v>
      </c>
      <c r="H777" t="s">
        <v>74</v>
      </c>
      <c r="I777" t="s">
        <v>10617</v>
      </c>
      <c r="J777" t="s">
        <v>10352</v>
      </c>
      <c r="K777" t="s">
        <v>74</v>
      </c>
      <c r="L777" t="s">
        <v>74</v>
      </c>
      <c r="M777" t="s">
        <v>77</v>
      </c>
      <c r="N777" t="s">
        <v>153</v>
      </c>
      <c r="O777" t="s">
        <v>74</v>
      </c>
      <c r="P777" t="s">
        <v>74</v>
      </c>
      <c r="Q777" t="s">
        <v>74</v>
      </c>
      <c r="R777" t="s">
        <v>74</v>
      </c>
      <c r="S777" t="s">
        <v>74</v>
      </c>
      <c r="T777" t="s">
        <v>10618</v>
      </c>
      <c r="U777" t="s">
        <v>10619</v>
      </c>
      <c r="V777" t="s">
        <v>10620</v>
      </c>
      <c r="W777" t="s">
        <v>4064</v>
      </c>
      <c r="X777" t="s">
        <v>852</v>
      </c>
      <c r="Y777" t="s">
        <v>10621</v>
      </c>
      <c r="Z777" t="s">
        <v>7771</v>
      </c>
      <c r="AA777" t="s">
        <v>74</v>
      </c>
      <c r="AB777" t="s">
        <v>74</v>
      </c>
      <c r="AC777" t="s">
        <v>74</v>
      </c>
      <c r="AD777" t="s">
        <v>74</v>
      </c>
      <c r="AE777" t="s">
        <v>74</v>
      </c>
      <c r="AF777" t="s">
        <v>74</v>
      </c>
      <c r="AG777">
        <v>51</v>
      </c>
      <c r="AH777">
        <v>72</v>
      </c>
      <c r="AI777">
        <v>75</v>
      </c>
      <c r="AJ777">
        <v>0</v>
      </c>
      <c r="AK777">
        <v>23</v>
      </c>
      <c r="AL777" t="s">
        <v>523</v>
      </c>
      <c r="AM777" t="s">
        <v>524</v>
      </c>
      <c r="AN777" t="s">
        <v>525</v>
      </c>
      <c r="AO777" t="s">
        <v>10359</v>
      </c>
      <c r="AP777" t="s">
        <v>74</v>
      </c>
      <c r="AQ777" t="s">
        <v>74</v>
      </c>
      <c r="AR777" t="s">
        <v>10361</v>
      </c>
      <c r="AS777" t="s">
        <v>10362</v>
      </c>
      <c r="AT777" t="s">
        <v>74</v>
      </c>
      <c r="AU777">
        <v>2002</v>
      </c>
      <c r="AV777">
        <v>232</v>
      </c>
      <c r="AW777" t="s">
        <v>74</v>
      </c>
      <c r="AX777" t="s">
        <v>74</v>
      </c>
      <c r="AY777" t="s">
        <v>74</v>
      </c>
      <c r="AZ777" t="s">
        <v>74</v>
      </c>
      <c r="BA777" t="s">
        <v>74</v>
      </c>
      <c r="BB777">
        <v>291</v>
      </c>
      <c r="BC777">
        <v>304</v>
      </c>
      <c r="BD777" t="s">
        <v>74</v>
      </c>
      <c r="BE777" t="s">
        <v>10622</v>
      </c>
      <c r="BF777" t="str">
        <f>HYPERLINK("http://dx.doi.org/10.3354/meps232291","http://dx.doi.org/10.3354/meps232291")</f>
        <v>http://dx.doi.org/10.3354/meps232291</v>
      </c>
      <c r="BG777" t="s">
        <v>74</v>
      </c>
      <c r="BH777" t="s">
        <v>74</v>
      </c>
      <c r="BI777">
        <v>14</v>
      </c>
      <c r="BJ777" t="s">
        <v>10364</v>
      </c>
      <c r="BK777" t="s">
        <v>170</v>
      </c>
      <c r="BL777" t="s">
        <v>10365</v>
      </c>
      <c r="BM777" t="s">
        <v>10623</v>
      </c>
      <c r="BN777" t="s">
        <v>74</v>
      </c>
      <c r="BO777" t="s">
        <v>173</v>
      </c>
      <c r="BP777" t="s">
        <v>74</v>
      </c>
      <c r="BQ777" t="s">
        <v>74</v>
      </c>
      <c r="BR777" t="s">
        <v>107</v>
      </c>
      <c r="BS777" t="s">
        <v>10624</v>
      </c>
      <c r="BT777" t="str">
        <f>HYPERLINK("https%3A%2F%2Fwww.webofscience.com%2Fwos%2Fwoscc%2Ffull-record%2FWOS:000176123900024","View Full Record in Web of Science")</f>
        <v>View Full Record in Web of Science</v>
      </c>
    </row>
    <row r="778" spans="1:72" x14ac:dyDescent="0.15">
      <c r="A778" t="s">
        <v>72</v>
      </c>
      <c r="B778" t="s">
        <v>10625</v>
      </c>
      <c r="C778" t="s">
        <v>74</v>
      </c>
      <c r="D778" t="s">
        <v>74</v>
      </c>
      <c r="E778" t="s">
        <v>74</v>
      </c>
      <c r="F778" t="s">
        <v>10625</v>
      </c>
      <c r="G778" t="s">
        <v>74</v>
      </c>
      <c r="H778" t="s">
        <v>74</v>
      </c>
      <c r="I778" t="s">
        <v>10626</v>
      </c>
      <c r="J778" t="s">
        <v>10352</v>
      </c>
      <c r="K778" t="s">
        <v>74</v>
      </c>
      <c r="L778" t="s">
        <v>74</v>
      </c>
      <c r="M778" t="s">
        <v>77</v>
      </c>
      <c r="N778" t="s">
        <v>153</v>
      </c>
      <c r="O778" t="s">
        <v>74</v>
      </c>
      <c r="P778" t="s">
        <v>74</v>
      </c>
      <c r="Q778" t="s">
        <v>74</v>
      </c>
      <c r="R778" t="s">
        <v>74</v>
      </c>
      <c r="S778" t="s">
        <v>74</v>
      </c>
      <c r="T778" t="s">
        <v>10627</v>
      </c>
      <c r="U778" t="s">
        <v>10628</v>
      </c>
      <c r="V778" t="s">
        <v>10629</v>
      </c>
      <c r="W778" t="s">
        <v>10630</v>
      </c>
      <c r="X778" t="s">
        <v>10631</v>
      </c>
      <c r="Y778" t="s">
        <v>10632</v>
      </c>
      <c r="Z778" t="s">
        <v>10633</v>
      </c>
      <c r="AA778" t="s">
        <v>10634</v>
      </c>
      <c r="AB778" t="s">
        <v>10635</v>
      </c>
      <c r="AC778" t="s">
        <v>74</v>
      </c>
      <c r="AD778" t="s">
        <v>74</v>
      </c>
      <c r="AE778" t="s">
        <v>74</v>
      </c>
      <c r="AF778" t="s">
        <v>74</v>
      </c>
      <c r="AG778">
        <v>41</v>
      </c>
      <c r="AH778">
        <v>146</v>
      </c>
      <c r="AI778">
        <v>161</v>
      </c>
      <c r="AJ778">
        <v>1</v>
      </c>
      <c r="AK778">
        <v>48</v>
      </c>
      <c r="AL778" t="s">
        <v>523</v>
      </c>
      <c r="AM778" t="s">
        <v>524</v>
      </c>
      <c r="AN778" t="s">
        <v>525</v>
      </c>
      <c r="AO778" t="s">
        <v>10359</v>
      </c>
      <c r="AP778" t="s">
        <v>10360</v>
      </c>
      <c r="AQ778" t="s">
        <v>74</v>
      </c>
      <c r="AR778" t="s">
        <v>10361</v>
      </c>
      <c r="AS778" t="s">
        <v>10362</v>
      </c>
      <c r="AT778" t="s">
        <v>74</v>
      </c>
      <c r="AU778">
        <v>2002</v>
      </c>
      <c r="AV778">
        <v>231</v>
      </c>
      <c r="AW778" t="s">
        <v>74</v>
      </c>
      <c r="AX778" t="s">
        <v>74</v>
      </c>
      <c r="AY778" t="s">
        <v>74</v>
      </c>
      <c r="AZ778" t="s">
        <v>74</v>
      </c>
      <c r="BA778" t="s">
        <v>74</v>
      </c>
      <c r="BB778">
        <v>67</v>
      </c>
      <c r="BC778">
        <v>74</v>
      </c>
      <c r="BD778" t="s">
        <v>74</v>
      </c>
      <c r="BE778" t="s">
        <v>10636</v>
      </c>
      <c r="BF778" t="str">
        <f>HYPERLINK("http://dx.doi.org/10.3354/meps231067","http://dx.doi.org/10.3354/meps231067")</f>
        <v>http://dx.doi.org/10.3354/meps231067</v>
      </c>
      <c r="BG778" t="s">
        <v>74</v>
      </c>
      <c r="BH778" t="s">
        <v>74</v>
      </c>
      <c r="BI778">
        <v>8</v>
      </c>
      <c r="BJ778" t="s">
        <v>10364</v>
      </c>
      <c r="BK778" t="s">
        <v>170</v>
      </c>
      <c r="BL778" t="s">
        <v>10365</v>
      </c>
      <c r="BM778" t="s">
        <v>10637</v>
      </c>
      <c r="BN778" t="s">
        <v>74</v>
      </c>
      <c r="BO778" t="s">
        <v>173</v>
      </c>
      <c r="BP778" t="s">
        <v>74</v>
      </c>
      <c r="BQ778" t="s">
        <v>74</v>
      </c>
      <c r="BR778" t="s">
        <v>107</v>
      </c>
      <c r="BS778" t="s">
        <v>10638</v>
      </c>
      <c r="BT778" t="str">
        <f>HYPERLINK("https%3A%2F%2Fwww.webofscience.com%2Fwos%2Fwoscc%2Ffull-record%2FWOS:000175860100006","View Full Record in Web of Science")</f>
        <v>View Full Record in Web of Science</v>
      </c>
    </row>
    <row r="779" spans="1:72" x14ac:dyDescent="0.15">
      <c r="A779" t="s">
        <v>72</v>
      </c>
      <c r="B779" t="s">
        <v>10639</v>
      </c>
      <c r="C779" t="s">
        <v>74</v>
      </c>
      <c r="D779" t="s">
        <v>74</v>
      </c>
      <c r="E779" t="s">
        <v>74</v>
      </c>
      <c r="F779" t="s">
        <v>10639</v>
      </c>
      <c r="G779" t="s">
        <v>74</v>
      </c>
      <c r="H779" t="s">
        <v>74</v>
      </c>
      <c r="I779" t="s">
        <v>10640</v>
      </c>
      <c r="J779" t="s">
        <v>10352</v>
      </c>
      <c r="K779" t="s">
        <v>74</v>
      </c>
      <c r="L779" t="s">
        <v>74</v>
      </c>
      <c r="M779" t="s">
        <v>77</v>
      </c>
      <c r="N779" t="s">
        <v>153</v>
      </c>
      <c r="O779" t="s">
        <v>74</v>
      </c>
      <c r="P779" t="s">
        <v>74</v>
      </c>
      <c r="Q779" t="s">
        <v>74</v>
      </c>
      <c r="R779" t="s">
        <v>74</v>
      </c>
      <c r="S779" t="s">
        <v>74</v>
      </c>
      <c r="T779" t="s">
        <v>10641</v>
      </c>
      <c r="U779" t="s">
        <v>10642</v>
      </c>
      <c r="V779" t="s">
        <v>10643</v>
      </c>
      <c r="W779" t="s">
        <v>10644</v>
      </c>
      <c r="X779" t="s">
        <v>10645</v>
      </c>
      <c r="Y779" t="s">
        <v>10646</v>
      </c>
      <c r="Z779" t="s">
        <v>10647</v>
      </c>
      <c r="AA779" t="s">
        <v>10648</v>
      </c>
      <c r="AB779" t="s">
        <v>10649</v>
      </c>
      <c r="AC779" t="s">
        <v>74</v>
      </c>
      <c r="AD779" t="s">
        <v>74</v>
      </c>
      <c r="AE779" t="s">
        <v>74</v>
      </c>
      <c r="AF779" t="s">
        <v>74</v>
      </c>
      <c r="AG779">
        <v>89</v>
      </c>
      <c r="AH779">
        <v>74</v>
      </c>
      <c r="AI779">
        <v>77</v>
      </c>
      <c r="AJ779">
        <v>0</v>
      </c>
      <c r="AK779">
        <v>27</v>
      </c>
      <c r="AL779" t="s">
        <v>523</v>
      </c>
      <c r="AM779" t="s">
        <v>524</v>
      </c>
      <c r="AN779" t="s">
        <v>525</v>
      </c>
      <c r="AO779" t="s">
        <v>10359</v>
      </c>
      <c r="AP779" t="s">
        <v>74</v>
      </c>
      <c r="AQ779" t="s">
        <v>74</v>
      </c>
      <c r="AR779" t="s">
        <v>10361</v>
      </c>
      <c r="AS779" t="s">
        <v>10362</v>
      </c>
      <c r="AT779" t="s">
        <v>74</v>
      </c>
      <c r="AU779">
        <v>2002</v>
      </c>
      <c r="AV779">
        <v>231</v>
      </c>
      <c r="AW779" t="s">
        <v>74</v>
      </c>
      <c r="AX779" t="s">
        <v>74</v>
      </c>
      <c r="AY779" t="s">
        <v>74</v>
      </c>
      <c r="AZ779" t="s">
        <v>74</v>
      </c>
      <c r="BA779" t="s">
        <v>74</v>
      </c>
      <c r="BB779">
        <v>101</v>
      </c>
      <c r="BC779">
        <v>114</v>
      </c>
      <c r="BD779" t="s">
        <v>74</v>
      </c>
      <c r="BE779" t="s">
        <v>10650</v>
      </c>
      <c r="BF779" t="str">
        <f>HYPERLINK("http://dx.doi.org/10.3354/meps231101","http://dx.doi.org/10.3354/meps231101")</f>
        <v>http://dx.doi.org/10.3354/meps231101</v>
      </c>
      <c r="BG779" t="s">
        <v>74</v>
      </c>
      <c r="BH779" t="s">
        <v>74</v>
      </c>
      <c r="BI779">
        <v>14</v>
      </c>
      <c r="BJ779" t="s">
        <v>10364</v>
      </c>
      <c r="BK779" t="s">
        <v>170</v>
      </c>
      <c r="BL779" t="s">
        <v>10365</v>
      </c>
      <c r="BM779" t="s">
        <v>10637</v>
      </c>
      <c r="BN779" t="s">
        <v>74</v>
      </c>
      <c r="BO779" t="s">
        <v>7476</v>
      </c>
      <c r="BP779" t="s">
        <v>74</v>
      </c>
      <c r="BQ779" t="s">
        <v>74</v>
      </c>
      <c r="BR779" t="s">
        <v>107</v>
      </c>
      <c r="BS779" t="s">
        <v>10651</v>
      </c>
      <c r="BT779" t="str">
        <f>HYPERLINK("https%3A%2F%2Fwww.webofscience.com%2Fwos%2Fwoscc%2Ffull-record%2FWOS:000175860100010","View Full Record in Web of Science")</f>
        <v>View Full Record in Web of Science</v>
      </c>
    </row>
    <row r="780" spans="1:72" x14ac:dyDescent="0.15">
      <c r="A780" t="s">
        <v>72</v>
      </c>
      <c r="B780" t="s">
        <v>10652</v>
      </c>
      <c r="C780" t="s">
        <v>74</v>
      </c>
      <c r="D780" t="s">
        <v>74</v>
      </c>
      <c r="E780" t="s">
        <v>74</v>
      </c>
      <c r="F780" t="s">
        <v>10652</v>
      </c>
      <c r="G780" t="s">
        <v>74</v>
      </c>
      <c r="H780" t="s">
        <v>74</v>
      </c>
      <c r="I780" t="s">
        <v>10653</v>
      </c>
      <c r="J780" t="s">
        <v>10352</v>
      </c>
      <c r="K780" t="s">
        <v>74</v>
      </c>
      <c r="L780" t="s">
        <v>74</v>
      </c>
      <c r="M780" t="s">
        <v>77</v>
      </c>
      <c r="N780" t="s">
        <v>153</v>
      </c>
      <c r="O780" t="s">
        <v>74</v>
      </c>
      <c r="P780" t="s">
        <v>74</v>
      </c>
      <c r="Q780" t="s">
        <v>74</v>
      </c>
      <c r="R780" t="s">
        <v>74</v>
      </c>
      <c r="S780" t="s">
        <v>74</v>
      </c>
      <c r="T780" t="s">
        <v>10654</v>
      </c>
      <c r="U780" t="s">
        <v>10655</v>
      </c>
      <c r="V780" t="s">
        <v>10656</v>
      </c>
      <c r="W780" t="s">
        <v>10657</v>
      </c>
      <c r="X780" t="s">
        <v>10658</v>
      </c>
      <c r="Y780" t="s">
        <v>10659</v>
      </c>
      <c r="Z780" t="s">
        <v>10660</v>
      </c>
      <c r="AA780" t="s">
        <v>10661</v>
      </c>
      <c r="AB780" t="s">
        <v>10662</v>
      </c>
      <c r="AC780" t="s">
        <v>74</v>
      </c>
      <c r="AD780" t="s">
        <v>74</v>
      </c>
      <c r="AE780" t="s">
        <v>74</v>
      </c>
      <c r="AF780" t="s">
        <v>74</v>
      </c>
      <c r="AG780">
        <v>66</v>
      </c>
      <c r="AH780">
        <v>58</v>
      </c>
      <c r="AI780">
        <v>69</v>
      </c>
      <c r="AJ780">
        <v>1</v>
      </c>
      <c r="AK780">
        <v>19</v>
      </c>
      <c r="AL780" t="s">
        <v>523</v>
      </c>
      <c r="AM780" t="s">
        <v>524</v>
      </c>
      <c r="AN780" t="s">
        <v>525</v>
      </c>
      <c r="AO780" t="s">
        <v>10359</v>
      </c>
      <c r="AP780" t="s">
        <v>74</v>
      </c>
      <c r="AQ780" t="s">
        <v>74</v>
      </c>
      <c r="AR780" t="s">
        <v>10361</v>
      </c>
      <c r="AS780" t="s">
        <v>10362</v>
      </c>
      <c r="AT780" t="s">
        <v>74</v>
      </c>
      <c r="AU780">
        <v>2002</v>
      </c>
      <c r="AV780">
        <v>231</v>
      </c>
      <c r="AW780" t="s">
        <v>74</v>
      </c>
      <c r="AX780" t="s">
        <v>74</v>
      </c>
      <c r="AY780" t="s">
        <v>74</v>
      </c>
      <c r="AZ780" t="s">
        <v>74</v>
      </c>
      <c r="BA780" t="s">
        <v>74</v>
      </c>
      <c r="BB780">
        <v>187</v>
      </c>
      <c r="BC780">
        <v>203</v>
      </c>
      <c r="BD780" t="s">
        <v>74</v>
      </c>
      <c r="BE780" t="s">
        <v>10663</v>
      </c>
      <c r="BF780" t="str">
        <f>HYPERLINK("http://dx.doi.org/10.3354/meps231187","http://dx.doi.org/10.3354/meps231187")</f>
        <v>http://dx.doi.org/10.3354/meps231187</v>
      </c>
      <c r="BG780" t="s">
        <v>74</v>
      </c>
      <c r="BH780" t="s">
        <v>74</v>
      </c>
      <c r="BI780">
        <v>17</v>
      </c>
      <c r="BJ780" t="s">
        <v>10364</v>
      </c>
      <c r="BK780" t="s">
        <v>170</v>
      </c>
      <c r="BL780" t="s">
        <v>10365</v>
      </c>
      <c r="BM780" t="s">
        <v>10637</v>
      </c>
      <c r="BN780" t="s">
        <v>74</v>
      </c>
      <c r="BO780" t="s">
        <v>10664</v>
      </c>
      <c r="BP780" t="s">
        <v>74</v>
      </c>
      <c r="BQ780" t="s">
        <v>74</v>
      </c>
      <c r="BR780" t="s">
        <v>107</v>
      </c>
      <c r="BS780" t="s">
        <v>10665</v>
      </c>
      <c r="BT780" t="str">
        <f>HYPERLINK("https%3A%2F%2Fwww.webofscience.com%2Fwos%2Fwoscc%2Ffull-record%2FWOS:000175860100017","View Full Record in Web of Science")</f>
        <v>View Full Record in Web of Science</v>
      </c>
    </row>
    <row r="781" spans="1:72" x14ac:dyDescent="0.15">
      <c r="A781" t="s">
        <v>72</v>
      </c>
      <c r="B781" t="s">
        <v>10666</v>
      </c>
      <c r="C781" t="s">
        <v>74</v>
      </c>
      <c r="D781" t="s">
        <v>74</v>
      </c>
      <c r="E781" t="s">
        <v>74</v>
      </c>
      <c r="F781" t="s">
        <v>10666</v>
      </c>
      <c r="G781" t="s">
        <v>74</v>
      </c>
      <c r="H781" t="s">
        <v>74</v>
      </c>
      <c r="I781" t="s">
        <v>10667</v>
      </c>
      <c r="J781" t="s">
        <v>10352</v>
      </c>
      <c r="K781" t="s">
        <v>74</v>
      </c>
      <c r="L781" t="s">
        <v>74</v>
      </c>
      <c r="M781" t="s">
        <v>77</v>
      </c>
      <c r="N781" t="s">
        <v>153</v>
      </c>
      <c r="O781" t="s">
        <v>74</v>
      </c>
      <c r="P781" t="s">
        <v>74</v>
      </c>
      <c r="Q781" t="s">
        <v>74</v>
      </c>
      <c r="R781" t="s">
        <v>74</v>
      </c>
      <c r="S781" t="s">
        <v>74</v>
      </c>
      <c r="T781" t="s">
        <v>10668</v>
      </c>
      <c r="U781" t="s">
        <v>10669</v>
      </c>
      <c r="V781" t="s">
        <v>10670</v>
      </c>
      <c r="W781" t="s">
        <v>10671</v>
      </c>
      <c r="X781" t="s">
        <v>852</v>
      </c>
      <c r="Y781" t="s">
        <v>10672</v>
      </c>
      <c r="Z781" t="s">
        <v>10673</v>
      </c>
      <c r="AA781" t="s">
        <v>74</v>
      </c>
      <c r="AB781" t="s">
        <v>74</v>
      </c>
      <c r="AC781" t="s">
        <v>74</v>
      </c>
      <c r="AD781" t="s">
        <v>74</v>
      </c>
      <c r="AE781" t="s">
        <v>74</v>
      </c>
      <c r="AF781" t="s">
        <v>74</v>
      </c>
      <c r="AG781">
        <v>43</v>
      </c>
      <c r="AH781">
        <v>52</v>
      </c>
      <c r="AI781">
        <v>58</v>
      </c>
      <c r="AJ781">
        <v>0</v>
      </c>
      <c r="AK781">
        <v>20</v>
      </c>
      <c r="AL781" t="s">
        <v>523</v>
      </c>
      <c r="AM781" t="s">
        <v>524</v>
      </c>
      <c r="AN781" t="s">
        <v>525</v>
      </c>
      <c r="AO781" t="s">
        <v>10359</v>
      </c>
      <c r="AP781" t="s">
        <v>74</v>
      </c>
      <c r="AQ781" t="s">
        <v>74</v>
      </c>
      <c r="AR781" t="s">
        <v>10361</v>
      </c>
      <c r="AS781" t="s">
        <v>10362</v>
      </c>
      <c r="AT781" t="s">
        <v>74</v>
      </c>
      <c r="AU781">
        <v>2002</v>
      </c>
      <c r="AV781">
        <v>231</v>
      </c>
      <c r="AW781" t="s">
        <v>74</v>
      </c>
      <c r="AX781" t="s">
        <v>74</v>
      </c>
      <c r="AY781" t="s">
        <v>74</v>
      </c>
      <c r="AZ781" t="s">
        <v>74</v>
      </c>
      <c r="BA781" t="s">
        <v>74</v>
      </c>
      <c r="BB781">
        <v>269</v>
      </c>
      <c r="BC781">
        <v>277</v>
      </c>
      <c r="BD781" t="s">
        <v>74</v>
      </c>
      <c r="BE781" t="s">
        <v>10674</v>
      </c>
      <c r="BF781" t="str">
        <f>HYPERLINK("http://dx.doi.org/10.3354/meps231269","http://dx.doi.org/10.3354/meps231269")</f>
        <v>http://dx.doi.org/10.3354/meps231269</v>
      </c>
      <c r="BG781" t="s">
        <v>74</v>
      </c>
      <c r="BH781" t="s">
        <v>74</v>
      </c>
      <c r="BI781">
        <v>9</v>
      </c>
      <c r="BJ781" t="s">
        <v>10364</v>
      </c>
      <c r="BK781" t="s">
        <v>170</v>
      </c>
      <c r="BL781" t="s">
        <v>10365</v>
      </c>
      <c r="BM781" t="s">
        <v>10637</v>
      </c>
      <c r="BN781" t="s">
        <v>74</v>
      </c>
      <c r="BO781" t="s">
        <v>1682</v>
      </c>
      <c r="BP781" t="s">
        <v>74</v>
      </c>
      <c r="BQ781" t="s">
        <v>74</v>
      </c>
      <c r="BR781" t="s">
        <v>107</v>
      </c>
      <c r="BS781" t="s">
        <v>10675</v>
      </c>
      <c r="BT781" t="str">
        <f>HYPERLINK("https%3A%2F%2Fwww.webofscience.com%2Fwos%2Fwoscc%2Ffull-record%2FWOS:000175860100024","View Full Record in Web of Science")</f>
        <v>View Full Record in Web of Science</v>
      </c>
    </row>
    <row r="782" spans="1:72" x14ac:dyDescent="0.15">
      <c r="A782" t="s">
        <v>72</v>
      </c>
      <c r="B782" t="s">
        <v>10676</v>
      </c>
      <c r="C782" t="s">
        <v>74</v>
      </c>
      <c r="D782" t="s">
        <v>74</v>
      </c>
      <c r="E782" t="s">
        <v>74</v>
      </c>
      <c r="F782" t="s">
        <v>10676</v>
      </c>
      <c r="G782" t="s">
        <v>74</v>
      </c>
      <c r="H782" t="s">
        <v>74</v>
      </c>
      <c r="I782" t="s">
        <v>10677</v>
      </c>
      <c r="J782" t="s">
        <v>10352</v>
      </c>
      <c r="K782" t="s">
        <v>74</v>
      </c>
      <c r="L782" t="s">
        <v>74</v>
      </c>
      <c r="M782" t="s">
        <v>77</v>
      </c>
      <c r="N782" t="s">
        <v>153</v>
      </c>
      <c r="O782" t="s">
        <v>74</v>
      </c>
      <c r="P782" t="s">
        <v>74</v>
      </c>
      <c r="Q782" t="s">
        <v>74</v>
      </c>
      <c r="R782" t="s">
        <v>74</v>
      </c>
      <c r="S782" t="s">
        <v>74</v>
      </c>
      <c r="T782" t="s">
        <v>10678</v>
      </c>
      <c r="U782" t="s">
        <v>10679</v>
      </c>
      <c r="V782" t="s">
        <v>10680</v>
      </c>
      <c r="W782" t="s">
        <v>10681</v>
      </c>
      <c r="X782" t="s">
        <v>10682</v>
      </c>
      <c r="Y782" t="s">
        <v>10683</v>
      </c>
      <c r="Z782" t="s">
        <v>10684</v>
      </c>
      <c r="AA782" t="s">
        <v>10685</v>
      </c>
      <c r="AB782" t="s">
        <v>74</v>
      </c>
      <c r="AC782" t="s">
        <v>74</v>
      </c>
      <c r="AD782" t="s">
        <v>74</v>
      </c>
      <c r="AE782" t="s">
        <v>74</v>
      </c>
      <c r="AF782" t="s">
        <v>74</v>
      </c>
      <c r="AG782">
        <v>58</v>
      </c>
      <c r="AH782">
        <v>69</v>
      </c>
      <c r="AI782">
        <v>82</v>
      </c>
      <c r="AJ782">
        <v>0</v>
      </c>
      <c r="AK782">
        <v>19</v>
      </c>
      <c r="AL782" t="s">
        <v>523</v>
      </c>
      <c r="AM782" t="s">
        <v>524</v>
      </c>
      <c r="AN782" t="s">
        <v>525</v>
      </c>
      <c r="AO782" t="s">
        <v>10359</v>
      </c>
      <c r="AP782" t="s">
        <v>10360</v>
      </c>
      <c r="AQ782" t="s">
        <v>74</v>
      </c>
      <c r="AR782" t="s">
        <v>10361</v>
      </c>
      <c r="AS782" t="s">
        <v>10362</v>
      </c>
      <c r="AT782" t="s">
        <v>74</v>
      </c>
      <c r="AU782">
        <v>2002</v>
      </c>
      <c r="AV782">
        <v>231</v>
      </c>
      <c r="AW782" t="s">
        <v>74</v>
      </c>
      <c r="AX782" t="s">
        <v>74</v>
      </c>
      <c r="AY782" t="s">
        <v>74</v>
      </c>
      <c r="AZ782" t="s">
        <v>74</v>
      </c>
      <c r="BA782" t="s">
        <v>74</v>
      </c>
      <c r="BB782">
        <v>279</v>
      </c>
      <c r="BC782">
        <v>291</v>
      </c>
      <c r="BD782" t="s">
        <v>74</v>
      </c>
      <c r="BE782" t="s">
        <v>10686</v>
      </c>
      <c r="BF782" t="str">
        <f>HYPERLINK("http://dx.doi.org/10.3354/meps231279","http://dx.doi.org/10.3354/meps231279")</f>
        <v>http://dx.doi.org/10.3354/meps231279</v>
      </c>
      <c r="BG782" t="s">
        <v>74</v>
      </c>
      <c r="BH782" t="s">
        <v>74</v>
      </c>
      <c r="BI782">
        <v>13</v>
      </c>
      <c r="BJ782" t="s">
        <v>10364</v>
      </c>
      <c r="BK782" t="s">
        <v>170</v>
      </c>
      <c r="BL782" t="s">
        <v>10365</v>
      </c>
      <c r="BM782" t="s">
        <v>10637</v>
      </c>
      <c r="BN782" t="s">
        <v>74</v>
      </c>
      <c r="BO782" t="s">
        <v>173</v>
      </c>
      <c r="BP782" t="s">
        <v>74</v>
      </c>
      <c r="BQ782" t="s">
        <v>74</v>
      </c>
      <c r="BR782" t="s">
        <v>107</v>
      </c>
      <c r="BS782" t="s">
        <v>10687</v>
      </c>
      <c r="BT782" t="str">
        <f>HYPERLINK("https%3A%2F%2Fwww.webofscience.com%2Fwos%2Fwoscc%2Ffull-record%2FWOS:000175860100025","View Full Record in Web of Science")</f>
        <v>View Full Record in Web of Science</v>
      </c>
    </row>
    <row r="783" spans="1:72" x14ac:dyDescent="0.15">
      <c r="A783" t="s">
        <v>72</v>
      </c>
      <c r="B783" t="s">
        <v>10688</v>
      </c>
      <c r="C783" t="s">
        <v>74</v>
      </c>
      <c r="D783" t="s">
        <v>74</v>
      </c>
      <c r="E783" t="s">
        <v>74</v>
      </c>
      <c r="F783" t="s">
        <v>10688</v>
      </c>
      <c r="G783" t="s">
        <v>74</v>
      </c>
      <c r="H783" t="s">
        <v>74</v>
      </c>
      <c r="I783" t="s">
        <v>10689</v>
      </c>
      <c r="J783" t="s">
        <v>10352</v>
      </c>
      <c r="K783" t="s">
        <v>74</v>
      </c>
      <c r="L783" t="s">
        <v>74</v>
      </c>
      <c r="M783" t="s">
        <v>77</v>
      </c>
      <c r="N783" t="s">
        <v>153</v>
      </c>
      <c r="O783" t="s">
        <v>74</v>
      </c>
      <c r="P783" t="s">
        <v>74</v>
      </c>
      <c r="Q783" t="s">
        <v>74</v>
      </c>
      <c r="R783" t="s">
        <v>74</v>
      </c>
      <c r="S783" t="s">
        <v>74</v>
      </c>
      <c r="T783" t="s">
        <v>10690</v>
      </c>
      <c r="U783" t="s">
        <v>10691</v>
      </c>
      <c r="V783" t="s">
        <v>10692</v>
      </c>
      <c r="W783" t="s">
        <v>10693</v>
      </c>
      <c r="X783" t="s">
        <v>10694</v>
      </c>
      <c r="Y783" t="s">
        <v>300</v>
      </c>
      <c r="Z783" t="s">
        <v>10695</v>
      </c>
      <c r="AA783" t="s">
        <v>10696</v>
      </c>
      <c r="AB783" t="s">
        <v>10697</v>
      </c>
      <c r="AC783" t="s">
        <v>74</v>
      </c>
      <c r="AD783" t="s">
        <v>74</v>
      </c>
      <c r="AE783" t="s">
        <v>74</v>
      </c>
      <c r="AF783" t="s">
        <v>74</v>
      </c>
      <c r="AG783">
        <v>56</v>
      </c>
      <c r="AH783">
        <v>262</v>
      </c>
      <c r="AI783">
        <v>286</v>
      </c>
      <c r="AJ783">
        <v>2</v>
      </c>
      <c r="AK783">
        <v>63</v>
      </c>
      <c r="AL783" t="s">
        <v>523</v>
      </c>
      <c r="AM783" t="s">
        <v>524</v>
      </c>
      <c r="AN783" t="s">
        <v>525</v>
      </c>
      <c r="AO783" t="s">
        <v>10359</v>
      </c>
      <c r="AP783" t="s">
        <v>10360</v>
      </c>
      <c r="AQ783" t="s">
        <v>74</v>
      </c>
      <c r="AR783" t="s">
        <v>10361</v>
      </c>
      <c r="AS783" t="s">
        <v>10362</v>
      </c>
      <c r="AT783" t="s">
        <v>74</v>
      </c>
      <c r="AU783">
        <v>2002</v>
      </c>
      <c r="AV783">
        <v>230</v>
      </c>
      <c r="AW783" t="s">
        <v>74</v>
      </c>
      <c r="AX783" t="s">
        <v>74</v>
      </c>
      <c r="AY783" t="s">
        <v>74</v>
      </c>
      <c r="AZ783" t="s">
        <v>74</v>
      </c>
      <c r="BA783" t="s">
        <v>74</v>
      </c>
      <c r="BB783">
        <v>195</v>
      </c>
      <c r="BC783">
        <v>209</v>
      </c>
      <c r="BD783" t="s">
        <v>74</v>
      </c>
      <c r="BE783" t="s">
        <v>10698</v>
      </c>
      <c r="BF783" t="str">
        <f>HYPERLINK("http://dx.doi.org/10.3354/meps230195","http://dx.doi.org/10.3354/meps230195")</f>
        <v>http://dx.doi.org/10.3354/meps230195</v>
      </c>
      <c r="BG783" t="s">
        <v>74</v>
      </c>
      <c r="BH783" t="s">
        <v>74</v>
      </c>
      <c r="BI783">
        <v>15</v>
      </c>
      <c r="BJ783" t="s">
        <v>10364</v>
      </c>
      <c r="BK783" t="s">
        <v>170</v>
      </c>
      <c r="BL783" t="s">
        <v>10365</v>
      </c>
      <c r="BM783" t="s">
        <v>10699</v>
      </c>
      <c r="BN783" t="s">
        <v>74</v>
      </c>
      <c r="BO783" t="s">
        <v>1767</v>
      </c>
      <c r="BP783" t="s">
        <v>74</v>
      </c>
      <c r="BQ783" t="s">
        <v>74</v>
      </c>
      <c r="BR783" t="s">
        <v>107</v>
      </c>
      <c r="BS783" t="s">
        <v>10700</v>
      </c>
      <c r="BT783" t="str">
        <f>HYPERLINK("https%3A%2F%2Fwww.webofscience.com%2Fwos%2Fwoscc%2Ffull-record%2FWOS:000175588600017","View Full Record in Web of Science")</f>
        <v>View Full Record in Web of Science</v>
      </c>
    </row>
    <row r="784" spans="1:72" x14ac:dyDescent="0.15">
      <c r="A784" t="s">
        <v>72</v>
      </c>
      <c r="B784" t="s">
        <v>10701</v>
      </c>
      <c r="C784" t="s">
        <v>74</v>
      </c>
      <c r="D784" t="s">
        <v>74</v>
      </c>
      <c r="E784" t="s">
        <v>74</v>
      </c>
      <c r="F784" t="s">
        <v>10701</v>
      </c>
      <c r="G784" t="s">
        <v>74</v>
      </c>
      <c r="H784" t="s">
        <v>74</v>
      </c>
      <c r="I784" t="s">
        <v>10702</v>
      </c>
      <c r="J784" t="s">
        <v>10352</v>
      </c>
      <c r="K784" t="s">
        <v>74</v>
      </c>
      <c r="L784" t="s">
        <v>74</v>
      </c>
      <c r="M784" t="s">
        <v>77</v>
      </c>
      <c r="N784" t="s">
        <v>947</v>
      </c>
      <c r="O784" t="s">
        <v>74</v>
      </c>
      <c r="P784" t="s">
        <v>74</v>
      </c>
      <c r="Q784" t="s">
        <v>74</v>
      </c>
      <c r="R784" t="s">
        <v>74</v>
      </c>
      <c r="S784" t="s">
        <v>74</v>
      </c>
      <c r="T784" t="s">
        <v>10703</v>
      </c>
      <c r="U784" t="s">
        <v>10704</v>
      </c>
      <c r="V784" t="s">
        <v>10705</v>
      </c>
      <c r="W784" t="s">
        <v>10706</v>
      </c>
      <c r="X784" t="s">
        <v>10707</v>
      </c>
      <c r="Y784" t="s">
        <v>10708</v>
      </c>
      <c r="Z784" t="s">
        <v>10709</v>
      </c>
      <c r="AA784" t="s">
        <v>4261</v>
      </c>
      <c r="AB784" t="s">
        <v>4262</v>
      </c>
      <c r="AC784" t="s">
        <v>74</v>
      </c>
      <c r="AD784" t="s">
        <v>74</v>
      </c>
      <c r="AE784" t="s">
        <v>74</v>
      </c>
      <c r="AF784" t="s">
        <v>74</v>
      </c>
      <c r="AG784">
        <v>130</v>
      </c>
      <c r="AH784">
        <v>123</v>
      </c>
      <c r="AI784">
        <v>131</v>
      </c>
      <c r="AJ784">
        <v>1</v>
      </c>
      <c r="AK784">
        <v>33</v>
      </c>
      <c r="AL784" t="s">
        <v>523</v>
      </c>
      <c r="AM784" t="s">
        <v>524</v>
      </c>
      <c r="AN784" t="s">
        <v>525</v>
      </c>
      <c r="AO784" t="s">
        <v>10359</v>
      </c>
      <c r="AP784" t="s">
        <v>10360</v>
      </c>
      <c r="AQ784" t="s">
        <v>74</v>
      </c>
      <c r="AR784" t="s">
        <v>10361</v>
      </c>
      <c r="AS784" t="s">
        <v>10362</v>
      </c>
      <c r="AT784" t="s">
        <v>74</v>
      </c>
      <c r="AU784">
        <v>2002</v>
      </c>
      <c r="AV784">
        <v>229</v>
      </c>
      <c r="AW784" t="s">
        <v>74</v>
      </c>
      <c r="AX784" t="s">
        <v>74</v>
      </c>
      <c r="AY784" t="s">
        <v>74</v>
      </c>
      <c r="AZ784" t="s">
        <v>74</v>
      </c>
      <c r="BA784" t="s">
        <v>74</v>
      </c>
      <c r="BB784">
        <v>291</v>
      </c>
      <c r="BC784">
        <v>312</v>
      </c>
      <c r="BD784" t="s">
        <v>74</v>
      </c>
      <c r="BE784" t="s">
        <v>10710</v>
      </c>
      <c r="BF784" t="str">
        <f>HYPERLINK("http://dx.doi.org/10.3354/meps229291","http://dx.doi.org/10.3354/meps229291")</f>
        <v>http://dx.doi.org/10.3354/meps229291</v>
      </c>
      <c r="BG784" t="s">
        <v>74</v>
      </c>
      <c r="BH784" t="s">
        <v>74</v>
      </c>
      <c r="BI784">
        <v>22</v>
      </c>
      <c r="BJ784" t="s">
        <v>10364</v>
      </c>
      <c r="BK784" t="s">
        <v>170</v>
      </c>
      <c r="BL784" t="s">
        <v>10365</v>
      </c>
      <c r="BM784" t="s">
        <v>10711</v>
      </c>
      <c r="BN784" t="s">
        <v>74</v>
      </c>
      <c r="BO784" t="s">
        <v>173</v>
      </c>
      <c r="BP784" t="s">
        <v>74</v>
      </c>
      <c r="BQ784" t="s">
        <v>74</v>
      </c>
      <c r="BR784" t="s">
        <v>107</v>
      </c>
      <c r="BS784" t="s">
        <v>10712</v>
      </c>
      <c r="BT784" t="str">
        <f>HYPERLINK("https%3A%2F%2Fwww.webofscience.com%2Fwos%2Fwoscc%2Ffull-record%2FWOS:000175144400025","View Full Record in Web of Science")</f>
        <v>View Full Record in Web of Science</v>
      </c>
    </row>
    <row r="785" spans="1:72" x14ac:dyDescent="0.15">
      <c r="A785" t="s">
        <v>72</v>
      </c>
      <c r="B785" t="s">
        <v>10713</v>
      </c>
      <c r="C785" t="s">
        <v>74</v>
      </c>
      <c r="D785" t="s">
        <v>74</v>
      </c>
      <c r="E785" t="s">
        <v>74</v>
      </c>
      <c r="F785" t="s">
        <v>10713</v>
      </c>
      <c r="G785" t="s">
        <v>74</v>
      </c>
      <c r="H785" t="s">
        <v>74</v>
      </c>
      <c r="I785" t="s">
        <v>10714</v>
      </c>
      <c r="J785" t="s">
        <v>10352</v>
      </c>
      <c r="K785" t="s">
        <v>74</v>
      </c>
      <c r="L785" t="s">
        <v>74</v>
      </c>
      <c r="M785" t="s">
        <v>77</v>
      </c>
      <c r="N785" t="s">
        <v>153</v>
      </c>
      <c r="O785" t="s">
        <v>74</v>
      </c>
      <c r="P785" t="s">
        <v>74</v>
      </c>
      <c r="Q785" t="s">
        <v>74</v>
      </c>
      <c r="R785" t="s">
        <v>74</v>
      </c>
      <c r="S785" t="s">
        <v>74</v>
      </c>
      <c r="T785" t="s">
        <v>10715</v>
      </c>
      <c r="U785" t="s">
        <v>10716</v>
      </c>
      <c r="V785" t="s">
        <v>10717</v>
      </c>
      <c r="W785" t="s">
        <v>10423</v>
      </c>
      <c r="X785" t="s">
        <v>10424</v>
      </c>
      <c r="Y785" t="s">
        <v>10718</v>
      </c>
      <c r="Z785" t="s">
        <v>10719</v>
      </c>
      <c r="AA785" t="s">
        <v>74</v>
      </c>
      <c r="AB785" t="s">
        <v>74</v>
      </c>
      <c r="AC785" t="s">
        <v>74</v>
      </c>
      <c r="AD785" t="s">
        <v>74</v>
      </c>
      <c r="AE785" t="s">
        <v>74</v>
      </c>
      <c r="AF785" t="s">
        <v>74</v>
      </c>
      <c r="AG785">
        <v>45</v>
      </c>
      <c r="AH785">
        <v>42</v>
      </c>
      <c r="AI785">
        <v>46</v>
      </c>
      <c r="AJ785">
        <v>0</v>
      </c>
      <c r="AK785">
        <v>9</v>
      </c>
      <c r="AL785" t="s">
        <v>523</v>
      </c>
      <c r="AM785" t="s">
        <v>524</v>
      </c>
      <c r="AN785" t="s">
        <v>525</v>
      </c>
      <c r="AO785" t="s">
        <v>10359</v>
      </c>
      <c r="AP785" t="s">
        <v>74</v>
      </c>
      <c r="AQ785" t="s">
        <v>74</v>
      </c>
      <c r="AR785" t="s">
        <v>10361</v>
      </c>
      <c r="AS785" t="s">
        <v>10362</v>
      </c>
      <c r="AT785" t="s">
        <v>74</v>
      </c>
      <c r="AU785">
        <v>2002</v>
      </c>
      <c r="AV785">
        <v>228</v>
      </c>
      <c r="AW785" t="s">
        <v>74</v>
      </c>
      <c r="AX785" t="s">
        <v>74</v>
      </c>
      <c r="AY785" t="s">
        <v>74</v>
      </c>
      <c r="AZ785" t="s">
        <v>74</v>
      </c>
      <c r="BA785" t="s">
        <v>74</v>
      </c>
      <c r="BB785">
        <v>193</v>
      </c>
      <c r="BC785">
        <v>204</v>
      </c>
      <c r="BD785" t="s">
        <v>74</v>
      </c>
      <c r="BE785" t="s">
        <v>10720</v>
      </c>
      <c r="BF785" t="str">
        <f>HYPERLINK("http://dx.doi.org/10.3354/meps228193","http://dx.doi.org/10.3354/meps228193")</f>
        <v>http://dx.doi.org/10.3354/meps228193</v>
      </c>
      <c r="BG785" t="s">
        <v>74</v>
      </c>
      <c r="BH785" t="s">
        <v>74</v>
      </c>
      <c r="BI785">
        <v>12</v>
      </c>
      <c r="BJ785" t="s">
        <v>10364</v>
      </c>
      <c r="BK785" t="s">
        <v>170</v>
      </c>
      <c r="BL785" t="s">
        <v>10365</v>
      </c>
      <c r="BM785" t="s">
        <v>10721</v>
      </c>
      <c r="BN785" t="s">
        <v>74</v>
      </c>
      <c r="BO785" t="s">
        <v>173</v>
      </c>
      <c r="BP785" t="s">
        <v>74</v>
      </c>
      <c r="BQ785" t="s">
        <v>74</v>
      </c>
      <c r="BR785" t="s">
        <v>107</v>
      </c>
      <c r="BS785" t="s">
        <v>10722</v>
      </c>
      <c r="BT785" t="str">
        <f>HYPERLINK("https%3A%2F%2Fwww.webofscience.com%2Fwos%2Fwoscc%2Ffull-record%2FWOS:000174655000017","View Full Record in Web of Science")</f>
        <v>View Full Record in Web of Science</v>
      </c>
    </row>
    <row r="786" spans="1:72" x14ac:dyDescent="0.15">
      <c r="A786" t="s">
        <v>72</v>
      </c>
      <c r="B786" t="s">
        <v>10723</v>
      </c>
      <c r="C786" t="s">
        <v>74</v>
      </c>
      <c r="D786" t="s">
        <v>74</v>
      </c>
      <c r="E786" t="s">
        <v>74</v>
      </c>
      <c r="F786" t="s">
        <v>10723</v>
      </c>
      <c r="G786" t="s">
        <v>74</v>
      </c>
      <c r="H786" t="s">
        <v>74</v>
      </c>
      <c r="I786" t="s">
        <v>10724</v>
      </c>
      <c r="J786" t="s">
        <v>10352</v>
      </c>
      <c r="K786" t="s">
        <v>74</v>
      </c>
      <c r="L786" t="s">
        <v>74</v>
      </c>
      <c r="M786" t="s">
        <v>77</v>
      </c>
      <c r="N786" t="s">
        <v>153</v>
      </c>
      <c r="O786" t="s">
        <v>74</v>
      </c>
      <c r="P786" t="s">
        <v>74</v>
      </c>
      <c r="Q786" t="s">
        <v>74</v>
      </c>
      <c r="R786" t="s">
        <v>74</v>
      </c>
      <c r="S786" t="s">
        <v>74</v>
      </c>
      <c r="T786" t="s">
        <v>10725</v>
      </c>
      <c r="U786" t="s">
        <v>10726</v>
      </c>
      <c r="V786" t="s">
        <v>10727</v>
      </c>
      <c r="W786" t="s">
        <v>10728</v>
      </c>
      <c r="X786" t="s">
        <v>10729</v>
      </c>
      <c r="Y786" t="s">
        <v>10730</v>
      </c>
      <c r="Z786" t="s">
        <v>10731</v>
      </c>
      <c r="AA786" t="s">
        <v>10732</v>
      </c>
      <c r="AB786" t="s">
        <v>74</v>
      </c>
      <c r="AC786" t="s">
        <v>74</v>
      </c>
      <c r="AD786" t="s">
        <v>74</v>
      </c>
      <c r="AE786" t="s">
        <v>74</v>
      </c>
      <c r="AF786" t="s">
        <v>74</v>
      </c>
      <c r="AG786">
        <v>84</v>
      </c>
      <c r="AH786">
        <v>86</v>
      </c>
      <c r="AI786">
        <v>93</v>
      </c>
      <c r="AJ786">
        <v>1</v>
      </c>
      <c r="AK786">
        <v>18</v>
      </c>
      <c r="AL786" t="s">
        <v>523</v>
      </c>
      <c r="AM786" t="s">
        <v>524</v>
      </c>
      <c r="AN786" t="s">
        <v>525</v>
      </c>
      <c r="AO786" t="s">
        <v>10359</v>
      </c>
      <c r="AP786" t="s">
        <v>74</v>
      </c>
      <c r="AQ786" t="s">
        <v>74</v>
      </c>
      <c r="AR786" t="s">
        <v>10361</v>
      </c>
      <c r="AS786" t="s">
        <v>10362</v>
      </c>
      <c r="AT786" t="s">
        <v>74</v>
      </c>
      <c r="AU786">
        <v>2002</v>
      </c>
      <c r="AV786">
        <v>228</v>
      </c>
      <c r="AW786" t="s">
        <v>74</v>
      </c>
      <c r="AX786" t="s">
        <v>74</v>
      </c>
      <c r="AY786" t="s">
        <v>74</v>
      </c>
      <c r="AZ786" t="s">
        <v>74</v>
      </c>
      <c r="BA786" t="s">
        <v>74</v>
      </c>
      <c r="BB786">
        <v>263</v>
      </c>
      <c r="BC786">
        <v>281</v>
      </c>
      <c r="BD786" t="s">
        <v>74</v>
      </c>
      <c r="BE786" t="s">
        <v>10733</v>
      </c>
      <c r="BF786" t="str">
        <f>HYPERLINK("http://dx.doi.org/10.3354/meps228263","http://dx.doi.org/10.3354/meps228263")</f>
        <v>http://dx.doi.org/10.3354/meps228263</v>
      </c>
      <c r="BG786" t="s">
        <v>74</v>
      </c>
      <c r="BH786" t="s">
        <v>74</v>
      </c>
      <c r="BI786">
        <v>19</v>
      </c>
      <c r="BJ786" t="s">
        <v>10364</v>
      </c>
      <c r="BK786" t="s">
        <v>170</v>
      </c>
      <c r="BL786" t="s">
        <v>10365</v>
      </c>
      <c r="BM786" t="s">
        <v>10721</v>
      </c>
      <c r="BN786" t="s">
        <v>74</v>
      </c>
      <c r="BO786" t="s">
        <v>2089</v>
      </c>
      <c r="BP786" t="s">
        <v>74</v>
      </c>
      <c r="BQ786" t="s">
        <v>74</v>
      </c>
      <c r="BR786" t="s">
        <v>107</v>
      </c>
      <c r="BS786" t="s">
        <v>10734</v>
      </c>
      <c r="BT786" t="str">
        <f>HYPERLINK("https%3A%2F%2Fwww.webofscience.com%2Fwos%2Fwoscc%2Ffull-record%2FWOS:000174655000022","View Full Record in Web of Science")</f>
        <v>View Full Record in Web of Science</v>
      </c>
    </row>
    <row r="787" spans="1:72" x14ac:dyDescent="0.15">
      <c r="A787" t="s">
        <v>72</v>
      </c>
      <c r="B787" t="s">
        <v>10735</v>
      </c>
      <c r="C787" t="s">
        <v>74</v>
      </c>
      <c r="D787" t="s">
        <v>74</v>
      </c>
      <c r="E787" t="s">
        <v>74</v>
      </c>
      <c r="F787" t="s">
        <v>10735</v>
      </c>
      <c r="G787" t="s">
        <v>74</v>
      </c>
      <c r="H787" t="s">
        <v>74</v>
      </c>
      <c r="I787" t="s">
        <v>10736</v>
      </c>
      <c r="J787" t="s">
        <v>10352</v>
      </c>
      <c r="K787" t="s">
        <v>74</v>
      </c>
      <c r="L787" t="s">
        <v>74</v>
      </c>
      <c r="M787" t="s">
        <v>77</v>
      </c>
      <c r="N787" t="s">
        <v>153</v>
      </c>
      <c r="O787" t="s">
        <v>74</v>
      </c>
      <c r="P787" t="s">
        <v>74</v>
      </c>
      <c r="Q787" t="s">
        <v>74</v>
      </c>
      <c r="R787" t="s">
        <v>74</v>
      </c>
      <c r="S787" t="s">
        <v>74</v>
      </c>
      <c r="T787" t="s">
        <v>10737</v>
      </c>
      <c r="U787" t="s">
        <v>10738</v>
      </c>
      <c r="V787" t="s">
        <v>10739</v>
      </c>
      <c r="W787" t="s">
        <v>10740</v>
      </c>
      <c r="X787" t="s">
        <v>10741</v>
      </c>
      <c r="Y787" t="s">
        <v>10730</v>
      </c>
      <c r="Z787" t="s">
        <v>10731</v>
      </c>
      <c r="AA787" t="s">
        <v>10742</v>
      </c>
      <c r="AB787" t="s">
        <v>10743</v>
      </c>
      <c r="AC787" t="s">
        <v>74</v>
      </c>
      <c r="AD787" t="s">
        <v>74</v>
      </c>
      <c r="AE787" t="s">
        <v>74</v>
      </c>
      <c r="AF787" t="s">
        <v>74</v>
      </c>
      <c r="AG787">
        <v>79</v>
      </c>
      <c r="AH787">
        <v>77</v>
      </c>
      <c r="AI787">
        <v>79</v>
      </c>
      <c r="AJ787">
        <v>1</v>
      </c>
      <c r="AK787">
        <v>18</v>
      </c>
      <c r="AL787" t="s">
        <v>523</v>
      </c>
      <c r="AM787" t="s">
        <v>524</v>
      </c>
      <c r="AN787" t="s">
        <v>525</v>
      </c>
      <c r="AO787" t="s">
        <v>10359</v>
      </c>
      <c r="AP787" t="s">
        <v>74</v>
      </c>
      <c r="AQ787" t="s">
        <v>74</v>
      </c>
      <c r="AR787" t="s">
        <v>10361</v>
      </c>
      <c r="AS787" t="s">
        <v>10362</v>
      </c>
      <c r="AT787" t="s">
        <v>74</v>
      </c>
      <c r="AU787">
        <v>2002</v>
      </c>
      <c r="AV787">
        <v>228</v>
      </c>
      <c r="AW787" t="s">
        <v>74</v>
      </c>
      <c r="AX787" t="s">
        <v>74</v>
      </c>
      <c r="AY787" t="s">
        <v>74</v>
      </c>
      <c r="AZ787" t="s">
        <v>74</v>
      </c>
      <c r="BA787" t="s">
        <v>74</v>
      </c>
      <c r="BB787">
        <v>283</v>
      </c>
      <c r="BC787">
        <v>299</v>
      </c>
      <c r="BD787" t="s">
        <v>74</v>
      </c>
      <c r="BE787" t="s">
        <v>10744</v>
      </c>
      <c r="BF787" t="str">
        <f>HYPERLINK("http://dx.doi.org/10.3354/meps228283","http://dx.doi.org/10.3354/meps228283")</f>
        <v>http://dx.doi.org/10.3354/meps228283</v>
      </c>
      <c r="BG787" t="s">
        <v>74</v>
      </c>
      <c r="BH787" t="s">
        <v>74</v>
      </c>
      <c r="BI787">
        <v>17</v>
      </c>
      <c r="BJ787" t="s">
        <v>10364</v>
      </c>
      <c r="BK787" t="s">
        <v>170</v>
      </c>
      <c r="BL787" t="s">
        <v>10365</v>
      </c>
      <c r="BM787" t="s">
        <v>10721</v>
      </c>
      <c r="BN787" t="s">
        <v>74</v>
      </c>
      <c r="BO787" t="s">
        <v>173</v>
      </c>
      <c r="BP787" t="s">
        <v>74</v>
      </c>
      <c r="BQ787" t="s">
        <v>74</v>
      </c>
      <c r="BR787" t="s">
        <v>107</v>
      </c>
      <c r="BS787" t="s">
        <v>10745</v>
      </c>
      <c r="BT787" t="str">
        <f>HYPERLINK("https%3A%2F%2Fwww.webofscience.com%2Fwos%2Fwoscc%2Ffull-record%2FWOS:000174655000023","View Full Record in Web of Science")</f>
        <v>View Full Record in Web of Science</v>
      </c>
    </row>
    <row r="788" spans="1:72" x14ac:dyDescent="0.15">
      <c r="A788" t="s">
        <v>72</v>
      </c>
      <c r="B788" t="s">
        <v>10746</v>
      </c>
      <c r="C788" t="s">
        <v>74</v>
      </c>
      <c r="D788" t="s">
        <v>74</v>
      </c>
      <c r="E788" t="s">
        <v>74</v>
      </c>
      <c r="F788" t="s">
        <v>10746</v>
      </c>
      <c r="G788" t="s">
        <v>74</v>
      </c>
      <c r="H788" t="s">
        <v>74</v>
      </c>
      <c r="I788" t="s">
        <v>10747</v>
      </c>
      <c r="J788" t="s">
        <v>10352</v>
      </c>
      <c r="K788" t="s">
        <v>74</v>
      </c>
      <c r="L788" t="s">
        <v>74</v>
      </c>
      <c r="M788" t="s">
        <v>77</v>
      </c>
      <c r="N788" t="s">
        <v>153</v>
      </c>
      <c r="O788" t="s">
        <v>74</v>
      </c>
      <c r="P788" t="s">
        <v>74</v>
      </c>
      <c r="Q788" t="s">
        <v>74</v>
      </c>
      <c r="R788" t="s">
        <v>74</v>
      </c>
      <c r="S788" t="s">
        <v>74</v>
      </c>
      <c r="T788" t="s">
        <v>10748</v>
      </c>
      <c r="U788" t="s">
        <v>10749</v>
      </c>
      <c r="V788" t="s">
        <v>10750</v>
      </c>
      <c r="W788" t="s">
        <v>10751</v>
      </c>
      <c r="X788" t="s">
        <v>10752</v>
      </c>
      <c r="Y788" t="s">
        <v>10753</v>
      </c>
      <c r="Z788" t="s">
        <v>10754</v>
      </c>
      <c r="AA788" t="s">
        <v>10755</v>
      </c>
      <c r="AB788" t="s">
        <v>10756</v>
      </c>
      <c r="AC788" t="s">
        <v>74</v>
      </c>
      <c r="AD788" t="s">
        <v>74</v>
      </c>
      <c r="AE788" t="s">
        <v>74</v>
      </c>
      <c r="AF788" t="s">
        <v>74</v>
      </c>
      <c r="AG788">
        <v>84</v>
      </c>
      <c r="AH788">
        <v>86</v>
      </c>
      <c r="AI788">
        <v>94</v>
      </c>
      <c r="AJ788">
        <v>3</v>
      </c>
      <c r="AK788">
        <v>63</v>
      </c>
      <c r="AL788" t="s">
        <v>523</v>
      </c>
      <c r="AM788" t="s">
        <v>524</v>
      </c>
      <c r="AN788" t="s">
        <v>525</v>
      </c>
      <c r="AO788" t="s">
        <v>10359</v>
      </c>
      <c r="AP788" t="s">
        <v>10360</v>
      </c>
      <c r="AQ788" t="s">
        <v>74</v>
      </c>
      <c r="AR788" t="s">
        <v>10361</v>
      </c>
      <c r="AS788" t="s">
        <v>10362</v>
      </c>
      <c r="AT788" t="s">
        <v>74</v>
      </c>
      <c r="AU788">
        <v>2002</v>
      </c>
      <c r="AV788">
        <v>227</v>
      </c>
      <c r="AW788" t="s">
        <v>74</v>
      </c>
      <c r="AX788" t="s">
        <v>74</v>
      </c>
      <c r="AY788" t="s">
        <v>74</v>
      </c>
      <c r="AZ788" t="s">
        <v>74</v>
      </c>
      <c r="BA788" t="s">
        <v>74</v>
      </c>
      <c r="BB788">
        <v>11</v>
      </c>
      <c r="BC788">
        <v>24</v>
      </c>
      <c r="BD788" t="s">
        <v>74</v>
      </c>
      <c r="BE788" t="s">
        <v>10757</v>
      </c>
      <c r="BF788" t="str">
        <f>HYPERLINK("http://dx.doi.org/10.3354/meps227011","http://dx.doi.org/10.3354/meps227011")</f>
        <v>http://dx.doi.org/10.3354/meps227011</v>
      </c>
      <c r="BG788" t="s">
        <v>74</v>
      </c>
      <c r="BH788" t="s">
        <v>74</v>
      </c>
      <c r="BI788">
        <v>14</v>
      </c>
      <c r="BJ788" t="s">
        <v>10364</v>
      </c>
      <c r="BK788" t="s">
        <v>170</v>
      </c>
      <c r="BL788" t="s">
        <v>10365</v>
      </c>
      <c r="BM788" t="s">
        <v>10758</v>
      </c>
      <c r="BN788" t="s">
        <v>74</v>
      </c>
      <c r="BO788" t="s">
        <v>535</v>
      </c>
      <c r="BP788" t="s">
        <v>74</v>
      </c>
      <c r="BQ788" t="s">
        <v>74</v>
      </c>
      <c r="BR788" t="s">
        <v>107</v>
      </c>
      <c r="BS788" t="s">
        <v>10759</v>
      </c>
      <c r="BT788" t="str">
        <f>HYPERLINK("https%3A%2F%2Fwww.webofscience.com%2Fwos%2Fwoscc%2Ffull-record%2FWOS:000174545200002","View Full Record in Web of Science")</f>
        <v>View Full Record in Web of Science</v>
      </c>
    </row>
    <row r="789" spans="1:72" x14ac:dyDescent="0.15">
      <c r="A789" t="s">
        <v>72</v>
      </c>
      <c r="B789" t="s">
        <v>10760</v>
      </c>
      <c r="C789" t="s">
        <v>74</v>
      </c>
      <c r="D789" t="s">
        <v>74</v>
      </c>
      <c r="E789" t="s">
        <v>74</v>
      </c>
      <c r="F789" t="s">
        <v>10760</v>
      </c>
      <c r="G789" t="s">
        <v>74</v>
      </c>
      <c r="H789" t="s">
        <v>74</v>
      </c>
      <c r="I789" t="s">
        <v>10761</v>
      </c>
      <c r="J789" t="s">
        <v>10352</v>
      </c>
      <c r="K789" t="s">
        <v>74</v>
      </c>
      <c r="L789" t="s">
        <v>74</v>
      </c>
      <c r="M789" t="s">
        <v>77</v>
      </c>
      <c r="N789" t="s">
        <v>153</v>
      </c>
      <c r="O789" t="s">
        <v>74</v>
      </c>
      <c r="P789" t="s">
        <v>74</v>
      </c>
      <c r="Q789" t="s">
        <v>74</v>
      </c>
      <c r="R789" t="s">
        <v>74</v>
      </c>
      <c r="S789" t="s">
        <v>74</v>
      </c>
      <c r="T789" t="s">
        <v>10762</v>
      </c>
      <c r="U789" t="s">
        <v>10763</v>
      </c>
      <c r="V789" t="s">
        <v>10764</v>
      </c>
      <c r="W789" t="s">
        <v>10765</v>
      </c>
      <c r="X789" t="s">
        <v>10766</v>
      </c>
      <c r="Y789" t="s">
        <v>10767</v>
      </c>
      <c r="Z789" t="s">
        <v>10768</v>
      </c>
      <c r="AA789" t="s">
        <v>74</v>
      </c>
      <c r="AB789" t="s">
        <v>10769</v>
      </c>
      <c r="AC789" t="s">
        <v>74</v>
      </c>
      <c r="AD789" t="s">
        <v>74</v>
      </c>
      <c r="AE789" t="s">
        <v>74</v>
      </c>
      <c r="AF789" t="s">
        <v>74</v>
      </c>
      <c r="AG789">
        <v>43</v>
      </c>
      <c r="AH789">
        <v>99</v>
      </c>
      <c r="AI789">
        <v>111</v>
      </c>
      <c r="AJ789">
        <v>0</v>
      </c>
      <c r="AK789">
        <v>26</v>
      </c>
      <c r="AL789" t="s">
        <v>523</v>
      </c>
      <c r="AM789" t="s">
        <v>524</v>
      </c>
      <c r="AN789" t="s">
        <v>525</v>
      </c>
      <c r="AO789" t="s">
        <v>10359</v>
      </c>
      <c r="AP789" t="s">
        <v>74</v>
      </c>
      <c r="AQ789" t="s">
        <v>74</v>
      </c>
      <c r="AR789" t="s">
        <v>10361</v>
      </c>
      <c r="AS789" t="s">
        <v>10362</v>
      </c>
      <c r="AT789" t="s">
        <v>74</v>
      </c>
      <c r="AU789">
        <v>2002</v>
      </c>
      <c r="AV789">
        <v>227</v>
      </c>
      <c r="AW789" t="s">
        <v>74</v>
      </c>
      <c r="AX789" t="s">
        <v>74</v>
      </c>
      <c r="AY789" t="s">
        <v>74</v>
      </c>
      <c r="AZ789" t="s">
        <v>74</v>
      </c>
      <c r="BA789" t="s">
        <v>74</v>
      </c>
      <c r="BB789">
        <v>187</v>
      </c>
      <c r="BC789">
        <v>194</v>
      </c>
      <c r="BD789" t="s">
        <v>74</v>
      </c>
      <c r="BE789" t="s">
        <v>10770</v>
      </c>
      <c r="BF789" t="str">
        <f>HYPERLINK("http://dx.doi.org/10.3354/meps227187","http://dx.doi.org/10.3354/meps227187")</f>
        <v>http://dx.doi.org/10.3354/meps227187</v>
      </c>
      <c r="BG789" t="s">
        <v>74</v>
      </c>
      <c r="BH789" t="s">
        <v>74</v>
      </c>
      <c r="BI789">
        <v>8</v>
      </c>
      <c r="BJ789" t="s">
        <v>10364</v>
      </c>
      <c r="BK789" t="s">
        <v>170</v>
      </c>
      <c r="BL789" t="s">
        <v>10365</v>
      </c>
      <c r="BM789" t="s">
        <v>10758</v>
      </c>
      <c r="BN789" t="s">
        <v>74</v>
      </c>
      <c r="BO789" t="s">
        <v>173</v>
      </c>
      <c r="BP789" t="s">
        <v>74</v>
      </c>
      <c r="BQ789" t="s">
        <v>74</v>
      </c>
      <c r="BR789" t="s">
        <v>107</v>
      </c>
      <c r="BS789" t="s">
        <v>10771</v>
      </c>
      <c r="BT789" t="str">
        <f>HYPERLINK("https%3A%2F%2Fwww.webofscience.com%2Fwos%2Fwoscc%2Ffull-record%2FWOS:000174545200016","View Full Record in Web of Science")</f>
        <v>View Full Record in Web of Science</v>
      </c>
    </row>
    <row r="790" spans="1:72" x14ac:dyDescent="0.15">
      <c r="A790" t="s">
        <v>72</v>
      </c>
      <c r="B790" t="s">
        <v>10772</v>
      </c>
      <c r="C790" t="s">
        <v>74</v>
      </c>
      <c r="D790" t="s">
        <v>74</v>
      </c>
      <c r="E790" t="s">
        <v>74</v>
      </c>
      <c r="F790" t="s">
        <v>10772</v>
      </c>
      <c r="G790" t="s">
        <v>74</v>
      </c>
      <c r="H790" t="s">
        <v>74</v>
      </c>
      <c r="I790" t="s">
        <v>10773</v>
      </c>
      <c r="J790" t="s">
        <v>10352</v>
      </c>
      <c r="K790" t="s">
        <v>74</v>
      </c>
      <c r="L790" t="s">
        <v>74</v>
      </c>
      <c r="M790" t="s">
        <v>77</v>
      </c>
      <c r="N790" t="s">
        <v>153</v>
      </c>
      <c r="O790" t="s">
        <v>74</v>
      </c>
      <c r="P790" t="s">
        <v>74</v>
      </c>
      <c r="Q790" t="s">
        <v>74</v>
      </c>
      <c r="R790" t="s">
        <v>74</v>
      </c>
      <c r="S790" t="s">
        <v>74</v>
      </c>
      <c r="T790" t="s">
        <v>10774</v>
      </c>
      <c r="U790" t="s">
        <v>10775</v>
      </c>
      <c r="V790" t="s">
        <v>10776</v>
      </c>
      <c r="W790" t="s">
        <v>4443</v>
      </c>
      <c r="X790" t="s">
        <v>2368</v>
      </c>
      <c r="Y790" t="s">
        <v>10777</v>
      </c>
      <c r="Z790" t="s">
        <v>10778</v>
      </c>
      <c r="AA790" t="s">
        <v>74</v>
      </c>
      <c r="AB790" t="s">
        <v>10779</v>
      </c>
      <c r="AC790" t="s">
        <v>74</v>
      </c>
      <c r="AD790" t="s">
        <v>74</v>
      </c>
      <c r="AE790" t="s">
        <v>74</v>
      </c>
      <c r="AF790" t="s">
        <v>74</v>
      </c>
      <c r="AG790">
        <v>54</v>
      </c>
      <c r="AH790">
        <v>36</v>
      </c>
      <c r="AI790">
        <v>37</v>
      </c>
      <c r="AJ790">
        <v>0</v>
      </c>
      <c r="AK790">
        <v>11</v>
      </c>
      <c r="AL790" t="s">
        <v>523</v>
      </c>
      <c r="AM790" t="s">
        <v>524</v>
      </c>
      <c r="AN790" t="s">
        <v>525</v>
      </c>
      <c r="AO790" t="s">
        <v>10359</v>
      </c>
      <c r="AP790" t="s">
        <v>10360</v>
      </c>
      <c r="AQ790" t="s">
        <v>74</v>
      </c>
      <c r="AR790" t="s">
        <v>10361</v>
      </c>
      <c r="AS790" t="s">
        <v>10362</v>
      </c>
      <c r="AT790" t="s">
        <v>74</v>
      </c>
      <c r="AU790">
        <v>2002</v>
      </c>
      <c r="AV790">
        <v>225</v>
      </c>
      <c r="AW790" t="s">
        <v>74</v>
      </c>
      <c r="AX790" t="s">
        <v>74</v>
      </c>
      <c r="AY790" t="s">
        <v>74</v>
      </c>
      <c r="AZ790" t="s">
        <v>74</v>
      </c>
      <c r="BA790" t="s">
        <v>74</v>
      </c>
      <c r="BB790">
        <v>45</v>
      </c>
      <c r="BC790">
        <v>52</v>
      </c>
      <c r="BD790" t="s">
        <v>74</v>
      </c>
      <c r="BE790" t="s">
        <v>10780</v>
      </c>
      <c r="BF790" t="str">
        <f>HYPERLINK("http://dx.doi.org/10.3354/meps225045","http://dx.doi.org/10.3354/meps225045")</f>
        <v>http://dx.doi.org/10.3354/meps225045</v>
      </c>
      <c r="BG790" t="s">
        <v>74</v>
      </c>
      <c r="BH790" t="s">
        <v>74</v>
      </c>
      <c r="BI790">
        <v>8</v>
      </c>
      <c r="BJ790" t="s">
        <v>10364</v>
      </c>
      <c r="BK790" t="s">
        <v>170</v>
      </c>
      <c r="BL790" t="s">
        <v>10365</v>
      </c>
      <c r="BM790" t="s">
        <v>10781</v>
      </c>
      <c r="BN790" t="s">
        <v>74</v>
      </c>
      <c r="BO790" t="s">
        <v>173</v>
      </c>
      <c r="BP790" t="s">
        <v>74</v>
      </c>
      <c r="BQ790" t="s">
        <v>74</v>
      </c>
      <c r="BR790" t="s">
        <v>107</v>
      </c>
      <c r="BS790" t="s">
        <v>10782</v>
      </c>
      <c r="BT790" t="str">
        <f>HYPERLINK("https%3A%2F%2Fwww.webofscience.com%2Fwos%2Fwoscc%2Ffull-record%2FWOS:000173878400004","View Full Record in Web of Science")</f>
        <v>View Full Record in Web of Science</v>
      </c>
    </row>
    <row r="791" spans="1:72" x14ac:dyDescent="0.15">
      <c r="A791" t="s">
        <v>72</v>
      </c>
      <c r="B791" t="s">
        <v>10783</v>
      </c>
      <c r="C791" t="s">
        <v>74</v>
      </c>
      <c r="D791" t="s">
        <v>74</v>
      </c>
      <c r="E791" t="s">
        <v>74</v>
      </c>
      <c r="F791" t="s">
        <v>10783</v>
      </c>
      <c r="G791" t="s">
        <v>74</v>
      </c>
      <c r="H791" t="s">
        <v>74</v>
      </c>
      <c r="I791" t="s">
        <v>10784</v>
      </c>
      <c r="J791" t="s">
        <v>10785</v>
      </c>
      <c r="K791" t="s">
        <v>74</v>
      </c>
      <c r="L791" t="s">
        <v>74</v>
      </c>
      <c r="M791" t="s">
        <v>77</v>
      </c>
      <c r="N791" t="s">
        <v>153</v>
      </c>
      <c r="O791" t="s">
        <v>74</v>
      </c>
      <c r="P791" t="s">
        <v>74</v>
      </c>
      <c r="Q791" t="s">
        <v>74</v>
      </c>
      <c r="R791" t="s">
        <v>74</v>
      </c>
      <c r="S791" t="s">
        <v>74</v>
      </c>
      <c r="T791" t="s">
        <v>74</v>
      </c>
      <c r="U791" t="s">
        <v>10786</v>
      </c>
      <c r="V791" t="s">
        <v>10787</v>
      </c>
      <c r="W791" t="s">
        <v>10788</v>
      </c>
      <c r="X791" t="s">
        <v>9318</v>
      </c>
      <c r="Y791" t="s">
        <v>10789</v>
      </c>
      <c r="Z791" t="s">
        <v>10790</v>
      </c>
      <c r="AA791" t="s">
        <v>10791</v>
      </c>
      <c r="AB791" t="s">
        <v>10792</v>
      </c>
      <c r="AC791" t="s">
        <v>74</v>
      </c>
      <c r="AD791" t="s">
        <v>74</v>
      </c>
      <c r="AE791" t="s">
        <v>74</v>
      </c>
      <c r="AF791" t="s">
        <v>74</v>
      </c>
      <c r="AG791">
        <v>32</v>
      </c>
      <c r="AH791">
        <v>32</v>
      </c>
      <c r="AI791">
        <v>40</v>
      </c>
      <c r="AJ791">
        <v>0</v>
      </c>
      <c r="AK791">
        <v>8</v>
      </c>
      <c r="AL791" t="s">
        <v>194</v>
      </c>
      <c r="AM791" t="s">
        <v>1251</v>
      </c>
      <c r="AN791" t="s">
        <v>1252</v>
      </c>
      <c r="AO791" t="s">
        <v>10793</v>
      </c>
      <c r="AP791" t="s">
        <v>10794</v>
      </c>
      <c r="AQ791" t="s">
        <v>74</v>
      </c>
      <c r="AR791" t="s">
        <v>10795</v>
      </c>
      <c r="AS791" t="s">
        <v>10796</v>
      </c>
      <c r="AT791" t="s">
        <v>74</v>
      </c>
      <c r="AU791">
        <v>2002</v>
      </c>
      <c r="AV791">
        <v>23</v>
      </c>
      <c r="AW791">
        <v>2</v>
      </c>
      <c r="AX791" t="s">
        <v>74</v>
      </c>
      <c r="AY791" t="s">
        <v>74</v>
      </c>
      <c r="AZ791" t="s">
        <v>74</v>
      </c>
      <c r="BA791" t="s">
        <v>74</v>
      </c>
      <c r="BB791">
        <v>109</v>
      </c>
      <c r="BC791">
        <v>123</v>
      </c>
      <c r="BD791" t="s">
        <v>74</v>
      </c>
      <c r="BE791" t="s">
        <v>10797</v>
      </c>
      <c r="BF791" t="str">
        <f>HYPERLINK("http://dx.doi.org/10.1023/A:1022407914072","http://dx.doi.org/10.1023/A:1022407914072")</f>
        <v>http://dx.doi.org/10.1023/A:1022407914072</v>
      </c>
      <c r="BG791" t="s">
        <v>74</v>
      </c>
      <c r="BH791" t="s">
        <v>74</v>
      </c>
      <c r="BI791">
        <v>15</v>
      </c>
      <c r="BJ791" t="s">
        <v>10798</v>
      </c>
      <c r="BK791" t="s">
        <v>170</v>
      </c>
      <c r="BL791" t="s">
        <v>10798</v>
      </c>
      <c r="BM791" t="s">
        <v>10799</v>
      </c>
      <c r="BN791" t="s">
        <v>74</v>
      </c>
      <c r="BO791" t="s">
        <v>74</v>
      </c>
      <c r="BP791" t="s">
        <v>74</v>
      </c>
      <c r="BQ791" t="s">
        <v>74</v>
      </c>
      <c r="BR791" t="s">
        <v>107</v>
      </c>
      <c r="BS791" t="s">
        <v>10800</v>
      </c>
      <c r="BT791" t="str">
        <f>HYPERLINK("https%3A%2F%2Fwww.webofscience.com%2Fwos%2Fwoscc%2Ffull-record%2FWOS:000181045000003","View Full Record in Web of Science")</f>
        <v>View Full Record in Web of Science</v>
      </c>
    </row>
    <row r="792" spans="1:72" x14ac:dyDescent="0.15">
      <c r="A792" t="s">
        <v>72</v>
      </c>
      <c r="B792" t="s">
        <v>10801</v>
      </c>
      <c r="C792" t="s">
        <v>74</v>
      </c>
      <c r="D792" t="s">
        <v>74</v>
      </c>
      <c r="E792" t="s">
        <v>74</v>
      </c>
      <c r="F792" t="s">
        <v>10801</v>
      </c>
      <c r="G792" t="s">
        <v>74</v>
      </c>
      <c r="H792" t="s">
        <v>74</v>
      </c>
      <c r="I792" t="s">
        <v>10802</v>
      </c>
      <c r="J792" t="s">
        <v>10803</v>
      </c>
      <c r="K792" t="s">
        <v>74</v>
      </c>
      <c r="L792" t="s">
        <v>74</v>
      </c>
      <c r="M792" t="s">
        <v>77</v>
      </c>
      <c r="N792" t="s">
        <v>153</v>
      </c>
      <c r="O792" t="s">
        <v>74</v>
      </c>
      <c r="P792" t="s">
        <v>74</v>
      </c>
      <c r="Q792" t="s">
        <v>74</v>
      </c>
      <c r="R792" t="s">
        <v>74</v>
      </c>
      <c r="S792" t="s">
        <v>74</v>
      </c>
      <c r="T792" t="s">
        <v>10804</v>
      </c>
      <c r="U792" t="s">
        <v>10805</v>
      </c>
      <c r="V792" t="s">
        <v>10806</v>
      </c>
      <c r="W792" t="s">
        <v>10807</v>
      </c>
      <c r="X792" t="s">
        <v>10808</v>
      </c>
      <c r="Y792" t="s">
        <v>10809</v>
      </c>
      <c r="Z792" t="s">
        <v>74</v>
      </c>
      <c r="AA792" t="s">
        <v>10810</v>
      </c>
      <c r="AB792" t="s">
        <v>10811</v>
      </c>
      <c r="AC792" t="s">
        <v>74</v>
      </c>
      <c r="AD792" t="s">
        <v>74</v>
      </c>
      <c r="AE792" t="s">
        <v>74</v>
      </c>
      <c r="AF792" t="s">
        <v>74</v>
      </c>
      <c r="AG792">
        <v>33</v>
      </c>
      <c r="AH792">
        <v>34</v>
      </c>
      <c r="AI792">
        <v>36</v>
      </c>
      <c r="AJ792">
        <v>0</v>
      </c>
      <c r="AK792">
        <v>9</v>
      </c>
      <c r="AL792" t="s">
        <v>1809</v>
      </c>
      <c r="AM792" t="s">
        <v>1251</v>
      </c>
      <c r="AN792" t="s">
        <v>1252</v>
      </c>
      <c r="AO792" t="s">
        <v>10793</v>
      </c>
      <c r="AP792" t="s">
        <v>74</v>
      </c>
      <c r="AQ792" t="s">
        <v>74</v>
      </c>
      <c r="AR792" t="s">
        <v>10795</v>
      </c>
      <c r="AS792" t="s">
        <v>10796</v>
      </c>
      <c r="AT792" t="s">
        <v>74</v>
      </c>
      <c r="AU792">
        <v>2002</v>
      </c>
      <c r="AV792">
        <v>23</v>
      </c>
      <c r="AW792" t="s">
        <v>3084</v>
      </c>
      <c r="AX792" t="s">
        <v>74</v>
      </c>
      <c r="AY792" t="s">
        <v>74</v>
      </c>
      <c r="AZ792" t="s">
        <v>74</v>
      </c>
      <c r="BA792" t="s">
        <v>74</v>
      </c>
      <c r="BB792">
        <v>413</v>
      </c>
      <c r="BC792">
        <v>421</v>
      </c>
      <c r="BD792" t="s">
        <v>74</v>
      </c>
      <c r="BE792" t="s">
        <v>10812</v>
      </c>
      <c r="BF792" t="str">
        <f>HYPERLINK("http://dx.doi.org/10.1023/B:MARI.0000018194.18098.0d","http://dx.doi.org/10.1023/B:MARI.0000018194.18098.0d")</f>
        <v>http://dx.doi.org/10.1023/B:MARI.0000018194.18098.0d</v>
      </c>
      <c r="BG792" t="s">
        <v>74</v>
      </c>
      <c r="BH792" t="s">
        <v>74</v>
      </c>
      <c r="BI792">
        <v>9</v>
      </c>
      <c r="BJ792" t="s">
        <v>10798</v>
      </c>
      <c r="BK792" t="s">
        <v>170</v>
      </c>
      <c r="BL792" t="s">
        <v>10798</v>
      </c>
      <c r="BM792" t="s">
        <v>10813</v>
      </c>
      <c r="BN792" t="s">
        <v>74</v>
      </c>
      <c r="BO792" t="s">
        <v>74</v>
      </c>
      <c r="BP792" t="s">
        <v>74</v>
      </c>
      <c r="BQ792" t="s">
        <v>74</v>
      </c>
      <c r="BR792" t="s">
        <v>107</v>
      </c>
      <c r="BS792" t="s">
        <v>10814</v>
      </c>
      <c r="BT792" t="str">
        <f>HYPERLINK("https%3A%2F%2Fwww.webofscience.com%2Fwos%2Fwoscc%2Ffull-record%2FWOS:000189361900003","View Full Record in Web of Science")</f>
        <v>View Full Record in Web of Science</v>
      </c>
    </row>
    <row r="793" spans="1:72" x14ac:dyDescent="0.15">
      <c r="A793" t="s">
        <v>72</v>
      </c>
      <c r="B793" t="s">
        <v>10815</v>
      </c>
      <c r="C793" t="s">
        <v>74</v>
      </c>
      <c r="D793" t="s">
        <v>74</v>
      </c>
      <c r="E793" t="s">
        <v>74</v>
      </c>
      <c r="F793" t="s">
        <v>10815</v>
      </c>
      <c r="G793" t="s">
        <v>74</v>
      </c>
      <c r="H793" t="s">
        <v>74</v>
      </c>
      <c r="I793" t="s">
        <v>10816</v>
      </c>
      <c r="J793" t="s">
        <v>4337</v>
      </c>
      <c r="K793" t="s">
        <v>74</v>
      </c>
      <c r="L793" t="s">
        <v>74</v>
      </c>
      <c r="M793" t="s">
        <v>77</v>
      </c>
      <c r="N793" t="s">
        <v>153</v>
      </c>
      <c r="O793" t="s">
        <v>74</v>
      </c>
      <c r="P793" t="s">
        <v>74</v>
      </c>
      <c r="Q793" t="s">
        <v>74</v>
      </c>
      <c r="R793" t="s">
        <v>74</v>
      </c>
      <c r="S793" t="s">
        <v>74</v>
      </c>
      <c r="T793" t="s">
        <v>10817</v>
      </c>
      <c r="U793" t="s">
        <v>10818</v>
      </c>
      <c r="V793" t="s">
        <v>10819</v>
      </c>
      <c r="W793" t="s">
        <v>10820</v>
      </c>
      <c r="X793" t="s">
        <v>852</v>
      </c>
      <c r="Y793" t="s">
        <v>10821</v>
      </c>
      <c r="Z793" t="s">
        <v>74</v>
      </c>
      <c r="AA793" t="s">
        <v>10498</v>
      </c>
      <c r="AB793" t="s">
        <v>10499</v>
      </c>
      <c r="AC793" t="s">
        <v>74</v>
      </c>
      <c r="AD793" t="s">
        <v>74</v>
      </c>
      <c r="AE793" t="s">
        <v>74</v>
      </c>
      <c r="AF793" t="s">
        <v>74</v>
      </c>
      <c r="AG793">
        <v>40</v>
      </c>
      <c r="AH793">
        <v>65</v>
      </c>
      <c r="AI793">
        <v>75</v>
      </c>
      <c r="AJ793">
        <v>1</v>
      </c>
      <c r="AK793">
        <v>18</v>
      </c>
      <c r="AL793" t="s">
        <v>10822</v>
      </c>
      <c r="AM793" t="s">
        <v>3580</v>
      </c>
      <c r="AN793" t="s">
        <v>10823</v>
      </c>
      <c r="AO793" t="s">
        <v>4343</v>
      </c>
      <c r="AP793" t="s">
        <v>74</v>
      </c>
      <c r="AQ793" t="s">
        <v>74</v>
      </c>
      <c r="AR793" t="s">
        <v>4345</v>
      </c>
      <c r="AS793" t="s">
        <v>4346</v>
      </c>
      <c r="AT793" t="s">
        <v>7127</v>
      </c>
      <c r="AU793">
        <v>2002</v>
      </c>
      <c r="AV793">
        <v>18</v>
      </c>
      <c r="AW793">
        <v>1</v>
      </c>
      <c r="AX793" t="s">
        <v>74</v>
      </c>
      <c r="AY793" t="s">
        <v>74</v>
      </c>
      <c r="AZ793" t="s">
        <v>74</v>
      </c>
      <c r="BA793" t="s">
        <v>74</v>
      </c>
      <c r="BB793">
        <v>223</v>
      </c>
      <c r="BC793">
        <v>243</v>
      </c>
      <c r="BD793" t="s">
        <v>74</v>
      </c>
      <c r="BE793" t="s">
        <v>10824</v>
      </c>
      <c r="BF793" t="str">
        <f>HYPERLINK("http://dx.doi.org/10.1111/j.1748-7692.2002.tb01030.x","http://dx.doi.org/10.1111/j.1748-7692.2002.tb01030.x")</f>
        <v>http://dx.doi.org/10.1111/j.1748-7692.2002.tb01030.x</v>
      </c>
      <c r="BG793" t="s">
        <v>74</v>
      </c>
      <c r="BH793" t="s">
        <v>74</v>
      </c>
      <c r="BI793">
        <v>21</v>
      </c>
      <c r="BJ793" t="s">
        <v>2790</v>
      </c>
      <c r="BK793" t="s">
        <v>170</v>
      </c>
      <c r="BL793" t="s">
        <v>2790</v>
      </c>
      <c r="BM793" t="s">
        <v>10825</v>
      </c>
      <c r="BN793" t="s">
        <v>74</v>
      </c>
      <c r="BO793" t="s">
        <v>74</v>
      </c>
      <c r="BP793" t="s">
        <v>74</v>
      </c>
      <c r="BQ793" t="s">
        <v>74</v>
      </c>
      <c r="BR793" t="s">
        <v>107</v>
      </c>
      <c r="BS793" t="s">
        <v>10826</v>
      </c>
      <c r="BT793" t="str">
        <f>HYPERLINK("https%3A%2F%2Fwww.webofscience.com%2Fwos%2Fwoscc%2Ffull-record%2FWOS:000173323500017","View Full Record in Web of Science")</f>
        <v>View Full Record in Web of Science</v>
      </c>
    </row>
    <row r="794" spans="1:72" x14ac:dyDescent="0.15">
      <c r="A794" t="s">
        <v>72</v>
      </c>
      <c r="B794" t="s">
        <v>10827</v>
      </c>
      <c r="C794" t="s">
        <v>74</v>
      </c>
      <c r="D794" t="s">
        <v>74</v>
      </c>
      <c r="E794" t="s">
        <v>74</v>
      </c>
      <c r="F794" t="s">
        <v>10827</v>
      </c>
      <c r="G794" t="s">
        <v>74</v>
      </c>
      <c r="H794" t="s">
        <v>74</v>
      </c>
      <c r="I794" t="s">
        <v>10828</v>
      </c>
      <c r="J794" t="s">
        <v>10829</v>
      </c>
      <c r="K794" t="s">
        <v>74</v>
      </c>
      <c r="L794" t="s">
        <v>74</v>
      </c>
      <c r="M794" t="s">
        <v>77</v>
      </c>
      <c r="N794" t="s">
        <v>153</v>
      </c>
      <c r="O794" t="s">
        <v>74</v>
      </c>
      <c r="P794" t="s">
        <v>74</v>
      </c>
      <c r="Q794" t="s">
        <v>74</v>
      </c>
      <c r="R794" t="s">
        <v>74</v>
      </c>
      <c r="S794" t="s">
        <v>74</v>
      </c>
      <c r="T794" t="s">
        <v>74</v>
      </c>
      <c r="U794" t="s">
        <v>10830</v>
      </c>
      <c r="V794" t="s">
        <v>10831</v>
      </c>
      <c r="W794" t="s">
        <v>10832</v>
      </c>
      <c r="X794" t="s">
        <v>3012</v>
      </c>
      <c r="Y794" t="s">
        <v>10833</v>
      </c>
      <c r="Z794" t="s">
        <v>10834</v>
      </c>
      <c r="AA794" t="s">
        <v>10835</v>
      </c>
      <c r="AB794" t="s">
        <v>10836</v>
      </c>
      <c r="AC794" t="s">
        <v>74</v>
      </c>
      <c r="AD794" t="s">
        <v>74</v>
      </c>
      <c r="AE794" t="s">
        <v>74</v>
      </c>
      <c r="AF794" t="s">
        <v>74</v>
      </c>
      <c r="AG794">
        <v>30</v>
      </c>
      <c r="AH794">
        <v>1</v>
      </c>
      <c r="AI794">
        <v>1</v>
      </c>
      <c r="AJ794">
        <v>0</v>
      </c>
      <c r="AK794">
        <v>4</v>
      </c>
      <c r="AL794" t="s">
        <v>1778</v>
      </c>
      <c r="AM794" t="s">
        <v>1779</v>
      </c>
      <c r="AN794" t="s">
        <v>1830</v>
      </c>
      <c r="AO794" t="s">
        <v>10837</v>
      </c>
      <c r="AP794" t="s">
        <v>74</v>
      </c>
      <c r="AQ794" t="s">
        <v>74</v>
      </c>
      <c r="AR794" t="s">
        <v>10838</v>
      </c>
      <c r="AS794" t="s">
        <v>10839</v>
      </c>
      <c r="AT794" t="s">
        <v>74</v>
      </c>
      <c r="AU794">
        <v>2002</v>
      </c>
      <c r="AV794">
        <v>11</v>
      </c>
      <c r="AW794">
        <v>1</v>
      </c>
      <c r="AX794" t="s">
        <v>74</v>
      </c>
      <c r="AY794" t="s">
        <v>74</v>
      </c>
      <c r="AZ794" t="s">
        <v>74</v>
      </c>
      <c r="BA794" t="s">
        <v>74</v>
      </c>
      <c r="BB794">
        <v>21</v>
      </c>
      <c r="BC794">
        <v>36</v>
      </c>
      <c r="BD794" t="s">
        <v>74</v>
      </c>
      <c r="BE794" t="s">
        <v>10840</v>
      </c>
      <c r="BF794" t="str">
        <f>HYPERLINK("http://dx.doi.org/10.1127/0941-2948/2002/0011-0021","http://dx.doi.org/10.1127/0941-2948/2002/0011-0021")</f>
        <v>http://dx.doi.org/10.1127/0941-2948/2002/0011-0021</v>
      </c>
      <c r="BG794" t="s">
        <v>74</v>
      </c>
      <c r="BH794" t="s">
        <v>74</v>
      </c>
      <c r="BI794">
        <v>16</v>
      </c>
      <c r="BJ794" t="s">
        <v>403</v>
      </c>
      <c r="BK794" t="s">
        <v>170</v>
      </c>
      <c r="BL794" t="s">
        <v>403</v>
      </c>
      <c r="BM794" t="s">
        <v>10841</v>
      </c>
      <c r="BN794" t="s">
        <v>74</v>
      </c>
      <c r="BO794" t="s">
        <v>74</v>
      </c>
      <c r="BP794" t="s">
        <v>74</v>
      </c>
      <c r="BQ794" t="s">
        <v>74</v>
      </c>
      <c r="BR794" t="s">
        <v>107</v>
      </c>
      <c r="BS794" t="s">
        <v>10842</v>
      </c>
      <c r="BT794" t="str">
        <f>HYPERLINK("https%3A%2F%2Fwww.webofscience.com%2Fwos%2Fwoscc%2Ffull-record%2FWOS:000175007500004","View Full Record in Web of Science")</f>
        <v>View Full Record in Web of Science</v>
      </c>
    </row>
    <row r="795" spans="1:72" x14ac:dyDescent="0.15">
      <c r="A795" t="s">
        <v>72</v>
      </c>
      <c r="B795" t="s">
        <v>10843</v>
      </c>
      <c r="C795" t="s">
        <v>74</v>
      </c>
      <c r="D795" t="s">
        <v>74</v>
      </c>
      <c r="E795" t="s">
        <v>74</v>
      </c>
      <c r="F795" t="s">
        <v>10843</v>
      </c>
      <c r="G795" t="s">
        <v>74</v>
      </c>
      <c r="H795" t="s">
        <v>74</v>
      </c>
      <c r="I795" t="s">
        <v>10844</v>
      </c>
      <c r="J795" t="s">
        <v>10829</v>
      </c>
      <c r="K795" t="s">
        <v>74</v>
      </c>
      <c r="L795" t="s">
        <v>74</v>
      </c>
      <c r="M795" t="s">
        <v>77</v>
      </c>
      <c r="N795" t="s">
        <v>153</v>
      </c>
      <c r="O795" t="s">
        <v>74</v>
      </c>
      <c r="P795" t="s">
        <v>74</v>
      </c>
      <c r="Q795" t="s">
        <v>74</v>
      </c>
      <c r="R795" t="s">
        <v>74</v>
      </c>
      <c r="S795" t="s">
        <v>74</v>
      </c>
      <c r="T795" t="s">
        <v>74</v>
      </c>
      <c r="U795" t="s">
        <v>10845</v>
      </c>
      <c r="V795" t="s">
        <v>10846</v>
      </c>
      <c r="W795" t="s">
        <v>10847</v>
      </c>
      <c r="X795" t="s">
        <v>10848</v>
      </c>
      <c r="Y795" t="s">
        <v>10849</v>
      </c>
      <c r="Z795" t="s">
        <v>74</v>
      </c>
      <c r="AA795" t="s">
        <v>10850</v>
      </c>
      <c r="AB795" t="s">
        <v>10851</v>
      </c>
      <c r="AC795" t="s">
        <v>74</v>
      </c>
      <c r="AD795" t="s">
        <v>74</v>
      </c>
      <c r="AE795" t="s">
        <v>74</v>
      </c>
      <c r="AF795" t="s">
        <v>74</v>
      </c>
      <c r="AG795">
        <v>10</v>
      </c>
      <c r="AH795">
        <v>31</v>
      </c>
      <c r="AI795">
        <v>32</v>
      </c>
      <c r="AJ795">
        <v>0</v>
      </c>
      <c r="AK795">
        <v>13</v>
      </c>
      <c r="AL795" t="s">
        <v>10852</v>
      </c>
      <c r="AM795" t="s">
        <v>1779</v>
      </c>
      <c r="AN795" t="s">
        <v>10853</v>
      </c>
      <c r="AO795" t="s">
        <v>10837</v>
      </c>
      <c r="AP795" t="s">
        <v>74</v>
      </c>
      <c r="AQ795" t="s">
        <v>74</v>
      </c>
      <c r="AR795" t="s">
        <v>10838</v>
      </c>
      <c r="AS795" t="s">
        <v>10839</v>
      </c>
      <c r="AT795" t="s">
        <v>74</v>
      </c>
      <c r="AU795">
        <v>2002</v>
      </c>
      <c r="AV795">
        <v>11</v>
      </c>
      <c r="AW795">
        <v>2</v>
      </c>
      <c r="AX795" t="s">
        <v>74</v>
      </c>
      <c r="AY795" t="s">
        <v>74</v>
      </c>
      <c r="AZ795" t="s">
        <v>74</v>
      </c>
      <c r="BA795" t="s">
        <v>74</v>
      </c>
      <c r="BB795">
        <v>83</v>
      </c>
      <c r="BC795">
        <v>88</v>
      </c>
      <c r="BD795" t="s">
        <v>74</v>
      </c>
      <c r="BE795" t="s">
        <v>10854</v>
      </c>
      <c r="BF795" t="str">
        <f>HYPERLINK("http://dx.doi.org/10.1127/0941-2948/2002/0011-0083","http://dx.doi.org/10.1127/0941-2948/2002/0011-0083")</f>
        <v>http://dx.doi.org/10.1127/0941-2948/2002/0011-0083</v>
      </c>
      <c r="BG795" t="s">
        <v>74</v>
      </c>
      <c r="BH795" t="s">
        <v>74</v>
      </c>
      <c r="BI795">
        <v>6</v>
      </c>
      <c r="BJ795" t="s">
        <v>403</v>
      </c>
      <c r="BK795" t="s">
        <v>170</v>
      </c>
      <c r="BL795" t="s">
        <v>403</v>
      </c>
      <c r="BM795" t="s">
        <v>10855</v>
      </c>
      <c r="BN795" t="s">
        <v>74</v>
      </c>
      <c r="BO795" t="s">
        <v>74</v>
      </c>
      <c r="BP795" t="s">
        <v>74</v>
      </c>
      <c r="BQ795" t="s">
        <v>74</v>
      </c>
      <c r="BR795" t="s">
        <v>107</v>
      </c>
      <c r="BS795" t="s">
        <v>10856</v>
      </c>
      <c r="BT795" t="str">
        <f>HYPERLINK("https%3A%2F%2Fwww.webofscience.com%2Fwos%2Fwoscc%2Ffull-record%2FWOS:000176328500001","View Full Record in Web of Science")</f>
        <v>View Full Record in Web of Science</v>
      </c>
    </row>
    <row r="796" spans="1:72" x14ac:dyDescent="0.15">
      <c r="A796" t="s">
        <v>72</v>
      </c>
      <c r="B796" t="s">
        <v>10857</v>
      </c>
      <c r="C796" t="s">
        <v>74</v>
      </c>
      <c r="D796" t="s">
        <v>74</v>
      </c>
      <c r="E796" t="s">
        <v>74</v>
      </c>
      <c r="F796" t="s">
        <v>10857</v>
      </c>
      <c r="G796" t="s">
        <v>74</v>
      </c>
      <c r="H796" t="s">
        <v>74</v>
      </c>
      <c r="I796" t="s">
        <v>10858</v>
      </c>
      <c r="J796" t="s">
        <v>10859</v>
      </c>
      <c r="K796" t="s">
        <v>74</v>
      </c>
      <c r="L796" t="s">
        <v>74</v>
      </c>
      <c r="M796" t="s">
        <v>77</v>
      </c>
      <c r="N796" t="s">
        <v>153</v>
      </c>
      <c r="O796" t="s">
        <v>74</v>
      </c>
      <c r="P796" t="s">
        <v>74</v>
      </c>
      <c r="Q796" t="s">
        <v>74</v>
      </c>
      <c r="R796" t="s">
        <v>74</v>
      </c>
      <c r="S796" t="s">
        <v>74</v>
      </c>
      <c r="T796" t="s">
        <v>74</v>
      </c>
      <c r="U796" t="s">
        <v>10860</v>
      </c>
      <c r="V796" t="s">
        <v>10861</v>
      </c>
      <c r="W796" t="s">
        <v>10862</v>
      </c>
      <c r="X796" t="s">
        <v>10863</v>
      </c>
      <c r="Y796" t="s">
        <v>10864</v>
      </c>
      <c r="Z796" t="s">
        <v>10865</v>
      </c>
      <c r="AA796" t="s">
        <v>10866</v>
      </c>
      <c r="AB796" t="s">
        <v>10867</v>
      </c>
      <c r="AC796" t="s">
        <v>74</v>
      </c>
      <c r="AD796" t="s">
        <v>74</v>
      </c>
      <c r="AE796" t="s">
        <v>74</v>
      </c>
      <c r="AF796" t="s">
        <v>74</v>
      </c>
      <c r="AG796">
        <v>32</v>
      </c>
      <c r="AH796">
        <v>107</v>
      </c>
      <c r="AI796">
        <v>129</v>
      </c>
      <c r="AJ796">
        <v>1</v>
      </c>
      <c r="AK796">
        <v>38</v>
      </c>
      <c r="AL796" t="s">
        <v>194</v>
      </c>
      <c r="AM796" t="s">
        <v>195</v>
      </c>
      <c r="AN796" t="s">
        <v>271</v>
      </c>
      <c r="AO796" t="s">
        <v>10868</v>
      </c>
      <c r="AP796" t="s">
        <v>10869</v>
      </c>
      <c r="AQ796" t="s">
        <v>74</v>
      </c>
      <c r="AR796" t="s">
        <v>10870</v>
      </c>
      <c r="AS796" t="s">
        <v>10871</v>
      </c>
      <c r="AT796" t="s">
        <v>7127</v>
      </c>
      <c r="AU796">
        <v>2002</v>
      </c>
      <c r="AV796">
        <v>43</v>
      </c>
      <c r="AW796">
        <v>1</v>
      </c>
      <c r="AX796" t="s">
        <v>74</v>
      </c>
      <c r="AY796" t="s">
        <v>74</v>
      </c>
      <c r="AZ796" t="s">
        <v>74</v>
      </c>
      <c r="BA796" t="s">
        <v>74</v>
      </c>
      <c r="BB796">
        <v>44</v>
      </c>
      <c r="BC796">
        <v>54</v>
      </c>
      <c r="BD796" t="s">
        <v>74</v>
      </c>
      <c r="BE796" t="s">
        <v>10872</v>
      </c>
      <c r="BF796" t="str">
        <f>HYPERLINK("http://dx.doi.org/10.1007/s00248-001-1019-3","http://dx.doi.org/10.1007/s00248-001-1019-3")</f>
        <v>http://dx.doi.org/10.1007/s00248-001-1019-3</v>
      </c>
      <c r="BG796" t="s">
        <v>74</v>
      </c>
      <c r="BH796" t="s">
        <v>74</v>
      </c>
      <c r="BI796">
        <v>11</v>
      </c>
      <c r="BJ796" t="s">
        <v>532</v>
      </c>
      <c r="BK796" t="s">
        <v>170</v>
      </c>
      <c r="BL796" t="s">
        <v>533</v>
      </c>
      <c r="BM796" t="s">
        <v>10873</v>
      </c>
      <c r="BN796">
        <v>11984628</v>
      </c>
      <c r="BO796" t="s">
        <v>74</v>
      </c>
      <c r="BP796" t="s">
        <v>74</v>
      </c>
      <c r="BQ796" t="s">
        <v>74</v>
      </c>
      <c r="BR796" t="s">
        <v>107</v>
      </c>
      <c r="BS796" t="s">
        <v>10874</v>
      </c>
      <c r="BT796" t="str">
        <f>HYPERLINK("https%3A%2F%2Fwww.webofscience.com%2Fwos%2Fwoscc%2Ffull-record%2FWOS:000174896300005","View Full Record in Web of Science")</f>
        <v>View Full Record in Web of Science</v>
      </c>
    </row>
    <row r="797" spans="1:72" x14ac:dyDescent="0.15">
      <c r="A797" t="s">
        <v>72</v>
      </c>
      <c r="B797" t="s">
        <v>10875</v>
      </c>
      <c r="C797" t="s">
        <v>74</v>
      </c>
      <c r="D797" t="s">
        <v>74</v>
      </c>
      <c r="E797" t="s">
        <v>74</v>
      </c>
      <c r="F797" t="s">
        <v>10875</v>
      </c>
      <c r="G797" t="s">
        <v>74</v>
      </c>
      <c r="H797" t="s">
        <v>74</v>
      </c>
      <c r="I797" t="s">
        <v>10876</v>
      </c>
      <c r="J797" t="s">
        <v>10877</v>
      </c>
      <c r="K797" t="s">
        <v>74</v>
      </c>
      <c r="L797" t="s">
        <v>74</v>
      </c>
      <c r="M797" t="s">
        <v>77</v>
      </c>
      <c r="N797" t="s">
        <v>153</v>
      </c>
      <c r="O797" t="s">
        <v>74</v>
      </c>
      <c r="P797" t="s">
        <v>74</v>
      </c>
      <c r="Q797" t="s">
        <v>74</v>
      </c>
      <c r="R797" t="s">
        <v>74</v>
      </c>
      <c r="S797" t="s">
        <v>74</v>
      </c>
      <c r="T797" t="s">
        <v>74</v>
      </c>
      <c r="U797" t="s">
        <v>10878</v>
      </c>
      <c r="V797" t="s">
        <v>10879</v>
      </c>
      <c r="W797" t="s">
        <v>10880</v>
      </c>
      <c r="X797" t="s">
        <v>10881</v>
      </c>
      <c r="Y797" t="s">
        <v>10882</v>
      </c>
      <c r="Z797" t="s">
        <v>74</v>
      </c>
      <c r="AA797" t="s">
        <v>10883</v>
      </c>
      <c r="AB797" t="s">
        <v>10884</v>
      </c>
      <c r="AC797" t="s">
        <v>74</v>
      </c>
      <c r="AD797" t="s">
        <v>74</v>
      </c>
      <c r="AE797" t="s">
        <v>74</v>
      </c>
      <c r="AF797" t="s">
        <v>74</v>
      </c>
      <c r="AG797">
        <v>57</v>
      </c>
      <c r="AH797">
        <v>65</v>
      </c>
      <c r="AI797">
        <v>68</v>
      </c>
      <c r="AJ797">
        <v>0</v>
      </c>
      <c r="AK797">
        <v>16</v>
      </c>
      <c r="AL797" t="s">
        <v>10885</v>
      </c>
      <c r="AM797" t="s">
        <v>10886</v>
      </c>
      <c r="AN797" t="s">
        <v>10887</v>
      </c>
      <c r="AO797" t="s">
        <v>10888</v>
      </c>
      <c r="AP797" t="s">
        <v>74</v>
      </c>
      <c r="AQ797" t="s">
        <v>74</v>
      </c>
      <c r="AR797" t="s">
        <v>10889</v>
      </c>
      <c r="AS797" t="s">
        <v>10890</v>
      </c>
      <c r="AT797" t="s">
        <v>74</v>
      </c>
      <c r="AU797">
        <v>2002</v>
      </c>
      <c r="AV797">
        <v>74</v>
      </c>
      <c r="AW797" t="s">
        <v>5844</v>
      </c>
      <c r="AX797" t="s">
        <v>74</v>
      </c>
      <c r="AY797" t="s">
        <v>74</v>
      </c>
      <c r="AZ797" t="s">
        <v>74</v>
      </c>
      <c r="BA797" t="s">
        <v>74</v>
      </c>
      <c r="BB797">
        <v>361</v>
      </c>
      <c r="BC797">
        <v>384</v>
      </c>
      <c r="BD797" t="s">
        <v>74</v>
      </c>
      <c r="BE797" t="s">
        <v>10891</v>
      </c>
      <c r="BF797" t="str">
        <f>HYPERLINK("http://dx.doi.org/10.1007/s007100200011","http://dx.doi.org/10.1007/s007100200011")</f>
        <v>http://dx.doi.org/10.1007/s007100200011</v>
      </c>
      <c r="BG797" t="s">
        <v>74</v>
      </c>
      <c r="BH797" t="s">
        <v>74</v>
      </c>
      <c r="BI797">
        <v>24</v>
      </c>
      <c r="BJ797" t="s">
        <v>3822</v>
      </c>
      <c r="BK797" t="s">
        <v>170</v>
      </c>
      <c r="BL797" t="s">
        <v>3822</v>
      </c>
      <c r="BM797" t="s">
        <v>10892</v>
      </c>
      <c r="BN797" t="s">
        <v>74</v>
      </c>
      <c r="BO797" t="s">
        <v>665</v>
      </c>
      <c r="BP797" t="s">
        <v>74</v>
      </c>
      <c r="BQ797" t="s">
        <v>74</v>
      </c>
      <c r="BR797" t="s">
        <v>107</v>
      </c>
      <c r="BS797" t="s">
        <v>10893</v>
      </c>
      <c r="BT797" t="str">
        <f>HYPERLINK("https%3A%2F%2Fwww.webofscience.com%2Fwos%2Fwoscc%2Ffull-record%2FWOS:000174596400013","View Full Record in Web of Science")</f>
        <v>View Full Record in Web of Science</v>
      </c>
    </row>
    <row r="798" spans="1:72" x14ac:dyDescent="0.15">
      <c r="A798" t="s">
        <v>72</v>
      </c>
      <c r="B798" t="s">
        <v>10894</v>
      </c>
      <c r="C798" t="s">
        <v>74</v>
      </c>
      <c r="D798" t="s">
        <v>74</v>
      </c>
      <c r="E798" t="s">
        <v>74</v>
      </c>
      <c r="F798" t="s">
        <v>10894</v>
      </c>
      <c r="G798" t="s">
        <v>74</v>
      </c>
      <c r="H798" t="s">
        <v>74</v>
      </c>
      <c r="I798" t="s">
        <v>10895</v>
      </c>
      <c r="J798" t="s">
        <v>10896</v>
      </c>
      <c r="K798" t="s">
        <v>74</v>
      </c>
      <c r="L798" t="s">
        <v>74</v>
      </c>
      <c r="M798" t="s">
        <v>77</v>
      </c>
      <c r="N798" t="s">
        <v>153</v>
      </c>
      <c r="O798" t="s">
        <v>74</v>
      </c>
      <c r="P798" t="s">
        <v>74</v>
      </c>
      <c r="Q798" t="s">
        <v>74</v>
      </c>
      <c r="R798" t="s">
        <v>74</v>
      </c>
      <c r="S798" t="s">
        <v>74</v>
      </c>
      <c r="T798" t="s">
        <v>74</v>
      </c>
      <c r="U798" t="s">
        <v>10897</v>
      </c>
      <c r="V798" t="s">
        <v>10898</v>
      </c>
      <c r="W798" t="s">
        <v>10899</v>
      </c>
      <c r="X798" t="s">
        <v>10900</v>
      </c>
      <c r="Y798" t="s">
        <v>10901</v>
      </c>
      <c r="Z798" t="s">
        <v>74</v>
      </c>
      <c r="AA798" t="s">
        <v>10902</v>
      </c>
      <c r="AB798" t="s">
        <v>10903</v>
      </c>
      <c r="AC798" t="s">
        <v>74</v>
      </c>
      <c r="AD798" t="s">
        <v>74</v>
      </c>
      <c r="AE798" t="s">
        <v>74</v>
      </c>
      <c r="AF798" t="s">
        <v>74</v>
      </c>
      <c r="AG798">
        <v>28</v>
      </c>
      <c r="AH798">
        <v>12</v>
      </c>
      <c r="AI798">
        <v>14</v>
      </c>
      <c r="AJ798">
        <v>0</v>
      </c>
      <c r="AK798">
        <v>8</v>
      </c>
      <c r="AL798" t="s">
        <v>453</v>
      </c>
      <c r="AM798" t="s">
        <v>454</v>
      </c>
      <c r="AN798" t="s">
        <v>6465</v>
      </c>
      <c r="AO798" t="s">
        <v>10904</v>
      </c>
      <c r="AP798" t="s">
        <v>74</v>
      </c>
      <c r="AQ798" t="s">
        <v>74</v>
      </c>
      <c r="AR798" t="s">
        <v>10905</v>
      </c>
      <c r="AS798" t="s">
        <v>10906</v>
      </c>
      <c r="AT798" t="s">
        <v>7127</v>
      </c>
      <c r="AU798">
        <v>2002</v>
      </c>
      <c r="AV798">
        <v>100</v>
      </c>
      <c r="AW798">
        <v>2</v>
      </c>
      <c r="AX798" t="s">
        <v>74</v>
      </c>
      <c r="AY798" t="s">
        <v>74</v>
      </c>
      <c r="AZ798" t="s">
        <v>74</v>
      </c>
      <c r="BA798" t="s">
        <v>74</v>
      </c>
      <c r="BB798">
        <v>247</v>
      </c>
      <c r="BC798">
        <v>253</v>
      </c>
      <c r="BD798" t="s">
        <v>74</v>
      </c>
      <c r="BE798" t="s">
        <v>10907</v>
      </c>
      <c r="BF798" t="str">
        <f>HYPERLINK("http://dx.doi.org/10.1080/00268970110086309","http://dx.doi.org/10.1080/00268970110086309")</f>
        <v>http://dx.doi.org/10.1080/00268970110086309</v>
      </c>
      <c r="BG798" t="s">
        <v>74</v>
      </c>
      <c r="BH798" t="s">
        <v>74</v>
      </c>
      <c r="BI798">
        <v>7</v>
      </c>
      <c r="BJ798" t="s">
        <v>588</v>
      </c>
      <c r="BK798" t="s">
        <v>170</v>
      </c>
      <c r="BL798" t="s">
        <v>589</v>
      </c>
      <c r="BM798" t="s">
        <v>10908</v>
      </c>
      <c r="BN798" t="s">
        <v>74</v>
      </c>
      <c r="BO798" t="s">
        <v>665</v>
      </c>
      <c r="BP798" t="s">
        <v>74</v>
      </c>
      <c r="BQ798" t="s">
        <v>74</v>
      </c>
      <c r="BR798" t="s">
        <v>107</v>
      </c>
      <c r="BS798" t="s">
        <v>10909</v>
      </c>
      <c r="BT798" t="str">
        <f>HYPERLINK("https%3A%2F%2Fwww.webofscience.com%2Fwos%2Fwoscc%2Ffull-record%2FWOS:000173237500001","View Full Record in Web of Science")</f>
        <v>View Full Record in Web of Science</v>
      </c>
    </row>
    <row r="799" spans="1:72" x14ac:dyDescent="0.15">
      <c r="A799" t="s">
        <v>72</v>
      </c>
      <c r="B799" t="s">
        <v>10910</v>
      </c>
      <c r="C799" t="s">
        <v>74</v>
      </c>
      <c r="D799" t="s">
        <v>74</v>
      </c>
      <c r="E799" t="s">
        <v>74</v>
      </c>
      <c r="F799" t="s">
        <v>10910</v>
      </c>
      <c r="G799" t="s">
        <v>74</v>
      </c>
      <c r="H799" t="s">
        <v>74</v>
      </c>
      <c r="I799" t="s">
        <v>10911</v>
      </c>
      <c r="J799" t="s">
        <v>10912</v>
      </c>
      <c r="K799" t="s">
        <v>74</v>
      </c>
      <c r="L799" t="s">
        <v>74</v>
      </c>
      <c r="M799" t="s">
        <v>77</v>
      </c>
      <c r="N799" t="s">
        <v>153</v>
      </c>
      <c r="O799" t="s">
        <v>74</v>
      </c>
      <c r="P799" t="s">
        <v>74</v>
      </c>
      <c r="Q799" t="s">
        <v>74</v>
      </c>
      <c r="R799" t="s">
        <v>74</v>
      </c>
      <c r="S799" t="s">
        <v>74</v>
      </c>
      <c r="T799" t="s">
        <v>10913</v>
      </c>
      <c r="U799" t="s">
        <v>10914</v>
      </c>
      <c r="V799" t="s">
        <v>10915</v>
      </c>
      <c r="W799" t="s">
        <v>10916</v>
      </c>
      <c r="X799" t="s">
        <v>10917</v>
      </c>
      <c r="Y799" t="s">
        <v>10918</v>
      </c>
      <c r="Z799" t="s">
        <v>4413</v>
      </c>
      <c r="AA799" t="s">
        <v>4414</v>
      </c>
      <c r="AB799" t="s">
        <v>4415</v>
      </c>
      <c r="AC799" t="s">
        <v>74</v>
      </c>
      <c r="AD799" t="s">
        <v>74</v>
      </c>
      <c r="AE799" t="s">
        <v>74</v>
      </c>
      <c r="AF799" t="s">
        <v>74</v>
      </c>
      <c r="AG799">
        <v>32</v>
      </c>
      <c r="AH799">
        <v>17</v>
      </c>
      <c r="AI799">
        <v>20</v>
      </c>
      <c r="AJ799">
        <v>0</v>
      </c>
      <c r="AK799">
        <v>7</v>
      </c>
      <c r="AL799" t="s">
        <v>194</v>
      </c>
      <c r="AM799" t="s">
        <v>1251</v>
      </c>
      <c r="AN799" t="s">
        <v>1252</v>
      </c>
      <c r="AO799" t="s">
        <v>10919</v>
      </c>
      <c r="AP799" t="s">
        <v>10920</v>
      </c>
      <c r="AQ799" t="s">
        <v>74</v>
      </c>
      <c r="AR799" t="s">
        <v>10912</v>
      </c>
      <c r="AS799" t="s">
        <v>10921</v>
      </c>
      <c r="AT799" t="s">
        <v>74</v>
      </c>
      <c r="AU799">
        <v>2002</v>
      </c>
      <c r="AV799">
        <v>153</v>
      </c>
      <c r="AW799">
        <v>3</v>
      </c>
      <c r="AX799" t="s">
        <v>74</v>
      </c>
      <c r="AY799" t="s">
        <v>74</v>
      </c>
      <c r="AZ799" t="s">
        <v>74</v>
      </c>
      <c r="BA799" t="s">
        <v>74</v>
      </c>
      <c r="BB799">
        <v>157</v>
      </c>
      <c r="BC799">
        <v>162</v>
      </c>
      <c r="BD799" t="s">
        <v>74</v>
      </c>
      <c r="BE799" t="s">
        <v>10922</v>
      </c>
      <c r="BF799" t="str">
        <f>HYPERLINK("http://dx.doi.org/10.1023/A:1014511105803","http://dx.doi.org/10.1023/A:1014511105803")</f>
        <v>http://dx.doi.org/10.1023/A:1014511105803</v>
      </c>
      <c r="BG799" t="s">
        <v>74</v>
      </c>
      <c r="BH799" t="s">
        <v>74</v>
      </c>
      <c r="BI799">
        <v>6</v>
      </c>
      <c r="BJ799" t="s">
        <v>10923</v>
      </c>
      <c r="BK799" t="s">
        <v>170</v>
      </c>
      <c r="BL799" t="s">
        <v>10923</v>
      </c>
      <c r="BM799" t="s">
        <v>10924</v>
      </c>
      <c r="BN799">
        <v>11998879</v>
      </c>
      <c r="BO799" t="s">
        <v>74</v>
      </c>
      <c r="BP799" t="s">
        <v>74</v>
      </c>
      <c r="BQ799" t="s">
        <v>74</v>
      </c>
      <c r="BR799" t="s">
        <v>107</v>
      </c>
      <c r="BS799" t="s">
        <v>10925</v>
      </c>
      <c r="BT799" t="str">
        <f>HYPERLINK("https%3A%2F%2Fwww.webofscience.com%2Fwos%2Fwoscc%2Ffull-record%2FWOS:000174356000010","View Full Record in Web of Science")</f>
        <v>View Full Record in Web of Science</v>
      </c>
    </row>
    <row r="800" spans="1:72" x14ac:dyDescent="0.15">
      <c r="A800" t="s">
        <v>6989</v>
      </c>
      <c r="B800" t="s">
        <v>10926</v>
      </c>
      <c r="C800" t="s">
        <v>74</v>
      </c>
      <c r="D800" t="s">
        <v>10927</v>
      </c>
      <c r="E800" t="s">
        <v>74</v>
      </c>
      <c r="F800" t="s">
        <v>10926</v>
      </c>
      <c r="G800" t="s">
        <v>74</v>
      </c>
      <c r="H800" t="s">
        <v>74</v>
      </c>
      <c r="I800" t="s">
        <v>10928</v>
      </c>
      <c r="J800" t="s">
        <v>10929</v>
      </c>
      <c r="K800" t="s">
        <v>74</v>
      </c>
      <c r="L800" t="s">
        <v>74</v>
      </c>
      <c r="M800" t="s">
        <v>77</v>
      </c>
      <c r="N800" t="s">
        <v>6994</v>
      </c>
      <c r="O800" t="s">
        <v>10930</v>
      </c>
      <c r="P800" t="s">
        <v>10931</v>
      </c>
      <c r="Q800" t="s">
        <v>10932</v>
      </c>
      <c r="R800" t="s">
        <v>74</v>
      </c>
      <c r="S800" t="s">
        <v>74</v>
      </c>
      <c r="T800" t="s">
        <v>10933</v>
      </c>
      <c r="U800" t="s">
        <v>74</v>
      </c>
      <c r="V800" t="s">
        <v>10934</v>
      </c>
      <c r="W800" t="s">
        <v>10935</v>
      </c>
      <c r="X800" t="s">
        <v>5282</v>
      </c>
      <c r="Y800" t="s">
        <v>10936</v>
      </c>
      <c r="Z800" t="s">
        <v>10937</v>
      </c>
      <c r="AA800" t="s">
        <v>74</v>
      </c>
      <c r="AB800" t="s">
        <v>74</v>
      </c>
      <c r="AC800" t="s">
        <v>74</v>
      </c>
      <c r="AD800" t="s">
        <v>74</v>
      </c>
      <c r="AE800" t="s">
        <v>74</v>
      </c>
      <c r="AF800" t="s">
        <v>74</v>
      </c>
      <c r="AG800">
        <v>2</v>
      </c>
      <c r="AH800">
        <v>0</v>
      </c>
      <c r="AI800">
        <v>0</v>
      </c>
      <c r="AJ800">
        <v>0</v>
      </c>
      <c r="AK800">
        <v>2</v>
      </c>
      <c r="AL800" t="s">
        <v>10938</v>
      </c>
      <c r="AM800" t="s">
        <v>10939</v>
      </c>
      <c r="AN800" t="s">
        <v>10940</v>
      </c>
      <c r="AO800" t="s">
        <v>74</v>
      </c>
      <c r="AP800" t="s">
        <v>74</v>
      </c>
      <c r="AQ800" t="s">
        <v>10941</v>
      </c>
      <c r="AR800" t="s">
        <v>74</v>
      </c>
      <c r="AS800" t="s">
        <v>74</v>
      </c>
      <c r="AT800" t="s">
        <v>74</v>
      </c>
      <c r="AU800">
        <v>2002</v>
      </c>
      <c r="AV800" t="s">
        <v>74</v>
      </c>
      <c r="AW800" t="s">
        <v>74</v>
      </c>
      <c r="AX800" t="s">
        <v>74</v>
      </c>
      <c r="AY800" t="s">
        <v>74</v>
      </c>
      <c r="AZ800" t="s">
        <v>74</v>
      </c>
      <c r="BA800" t="s">
        <v>74</v>
      </c>
      <c r="BB800">
        <v>107</v>
      </c>
      <c r="BC800">
        <v>108</v>
      </c>
      <c r="BD800" t="s">
        <v>74</v>
      </c>
      <c r="BE800" t="s">
        <v>74</v>
      </c>
      <c r="BF800" t="s">
        <v>74</v>
      </c>
      <c r="BG800" t="s">
        <v>74</v>
      </c>
      <c r="BH800" t="s">
        <v>74</v>
      </c>
      <c r="BI800">
        <v>2</v>
      </c>
      <c r="BJ800" t="s">
        <v>2358</v>
      </c>
      <c r="BK800" t="s">
        <v>7004</v>
      </c>
      <c r="BL800" t="s">
        <v>2359</v>
      </c>
      <c r="BM800" t="s">
        <v>10942</v>
      </c>
      <c r="BN800" t="s">
        <v>74</v>
      </c>
      <c r="BO800" t="s">
        <v>74</v>
      </c>
      <c r="BP800" t="s">
        <v>74</v>
      </c>
      <c r="BQ800" t="s">
        <v>74</v>
      </c>
      <c r="BR800" t="s">
        <v>107</v>
      </c>
      <c r="BS800" t="s">
        <v>10943</v>
      </c>
      <c r="BT800" t="str">
        <f>HYPERLINK("https%3A%2F%2Fwww.webofscience.com%2Fwos%2Fwoscc%2Ffull-record%2FWOS:000181977700027","View Full Record in Web of Science")</f>
        <v>View Full Record in Web of Science</v>
      </c>
    </row>
    <row r="801" spans="1:72" x14ac:dyDescent="0.15">
      <c r="A801" t="s">
        <v>72</v>
      </c>
      <c r="B801" t="s">
        <v>10944</v>
      </c>
      <c r="C801" t="s">
        <v>74</v>
      </c>
      <c r="D801" t="s">
        <v>74</v>
      </c>
      <c r="E801" t="s">
        <v>74</v>
      </c>
      <c r="F801" t="s">
        <v>10944</v>
      </c>
      <c r="G801" t="s">
        <v>74</v>
      </c>
      <c r="H801" t="s">
        <v>74</v>
      </c>
      <c r="I801" t="s">
        <v>10945</v>
      </c>
      <c r="J801" t="s">
        <v>10946</v>
      </c>
      <c r="K801" t="s">
        <v>74</v>
      </c>
      <c r="L801" t="s">
        <v>74</v>
      </c>
      <c r="M801" t="s">
        <v>77</v>
      </c>
      <c r="N801" t="s">
        <v>947</v>
      </c>
      <c r="O801" t="s">
        <v>74</v>
      </c>
      <c r="P801" t="s">
        <v>74</v>
      </c>
      <c r="Q801" t="s">
        <v>74</v>
      </c>
      <c r="R801" t="s">
        <v>74</v>
      </c>
      <c r="S801" t="s">
        <v>74</v>
      </c>
      <c r="T801" t="s">
        <v>10947</v>
      </c>
      <c r="U801" t="s">
        <v>10948</v>
      </c>
      <c r="V801" t="s">
        <v>10949</v>
      </c>
      <c r="W801" t="s">
        <v>10950</v>
      </c>
      <c r="X801" t="s">
        <v>10951</v>
      </c>
      <c r="Y801" t="s">
        <v>10952</v>
      </c>
      <c r="Z801" t="s">
        <v>74</v>
      </c>
      <c r="AA801" t="s">
        <v>10953</v>
      </c>
      <c r="AB801" t="s">
        <v>10954</v>
      </c>
      <c r="AC801" t="s">
        <v>74</v>
      </c>
      <c r="AD801" t="s">
        <v>74</v>
      </c>
      <c r="AE801" t="s">
        <v>74</v>
      </c>
      <c r="AF801" t="s">
        <v>74</v>
      </c>
      <c r="AG801">
        <v>140</v>
      </c>
      <c r="AH801">
        <v>71</v>
      </c>
      <c r="AI801">
        <v>71</v>
      </c>
      <c r="AJ801">
        <v>0</v>
      </c>
      <c r="AK801">
        <v>10</v>
      </c>
      <c r="AL801" t="s">
        <v>10852</v>
      </c>
      <c r="AM801" t="s">
        <v>1779</v>
      </c>
      <c r="AN801" t="s">
        <v>10853</v>
      </c>
      <c r="AO801" t="s">
        <v>10955</v>
      </c>
      <c r="AP801" t="s">
        <v>10956</v>
      </c>
      <c r="AQ801" t="s">
        <v>74</v>
      </c>
      <c r="AR801" t="s">
        <v>10946</v>
      </c>
      <c r="AS801" t="s">
        <v>10957</v>
      </c>
      <c r="AT801" t="s">
        <v>74</v>
      </c>
      <c r="AU801">
        <v>2002</v>
      </c>
      <c r="AV801">
        <v>74</v>
      </c>
      <c r="AW801" t="s">
        <v>98</v>
      </c>
      <c r="AX801" t="s">
        <v>74</v>
      </c>
      <c r="AY801" t="s">
        <v>74</v>
      </c>
      <c r="AZ801" t="s">
        <v>74</v>
      </c>
      <c r="BA801" t="s">
        <v>74</v>
      </c>
      <c r="BB801">
        <v>121</v>
      </c>
      <c r="BC801">
        <v>147</v>
      </c>
      <c r="BD801" t="s">
        <v>74</v>
      </c>
      <c r="BE801" t="s">
        <v>10958</v>
      </c>
      <c r="BF801" t="str">
        <f>HYPERLINK("http://dx.doi.org/10.1127/0029-5035/2002/0074-0121","http://dx.doi.org/10.1127/0029-5035/2002/0074-0121")</f>
        <v>http://dx.doi.org/10.1127/0029-5035/2002/0074-0121</v>
      </c>
      <c r="BG801" t="s">
        <v>74</v>
      </c>
      <c r="BH801" t="s">
        <v>74</v>
      </c>
      <c r="BI801">
        <v>27</v>
      </c>
      <c r="BJ801" t="s">
        <v>2396</v>
      </c>
      <c r="BK801" t="s">
        <v>170</v>
      </c>
      <c r="BL801" t="s">
        <v>2396</v>
      </c>
      <c r="BM801" t="s">
        <v>10959</v>
      </c>
      <c r="BN801" t="s">
        <v>74</v>
      </c>
      <c r="BO801" t="s">
        <v>74</v>
      </c>
      <c r="BP801" t="s">
        <v>74</v>
      </c>
      <c r="BQ801" t="s">
        <v>74</v>
      </c>
      <c r="BR801" t="s">
        <v>107</v>
      </c>
      <c r="BS801" t="s">
        <v>10960</v>
      </c>
      <c r="BT801" t="str">
        <f>HYPERLINK("https%3A%2F%2Fwww.webofscience.com%2Fwos%2Fwoscc%2Ffull-record%2FWOS:000174301600006","View Full Record in Web of Science")</f>
        <v>View Full Record in Web of Science</v>
      </c>
    </row>
    <row r="802" spans="1:72" x14ac:dyDescent="0.15">
      <c r="A802" t="s">
        <v>72</v>
      </c>
      <c r="B802" t="s">
        <v>10961</v>
      </c>
      <c r="C802" t="s">
        <v>74</v>
      </c>
      <c r="D802" t="s">
        <v>74</v>
      </c>
      <c r="E802" t="s">
        <v>74</v>
      </c>
      <c r="F802" t="s">
        <v>10961</v>
      </c>
      <c r="G802" t="s">
        <v>74</v>
      </c>
      <c r="H802" t="s">
        <v>74</v>
      </c>
      <c r="I802" t="s">
        <v>10962</v>
      </c>
      <c r="J802" t="s">
        <v>10963</v>
      </c>
      <c r="K802" t="s">
        <v>74</v>
      </c>
      <c r="L802" t="s">
        <v>74</v>
      </c>
      <c r="M802" t="s">
        <v>77</v>
      </c>
      <c r="N802" t="s">
        <v>153</v>
      </c>
      <c r="O802" t="s">
        <v>74</v>
      </c>
      <c r="P802" t="s">
        <v>74</v>
      </c>
      <c r="Q802" t="s">
        <v>74</v>
      </c>
      <c r="R802" t="s">
        <v>74</v>
      </c>
      <c r="S802" t="s">
        <v>74</v>
      </c>
      <c r="T802" t="s">
        <v>74</v>
      </c>
      <c r="U802" t="s">
        <v>10964</v>
      </c>
      <c r="V802" t="s">
        <v>10965</v>
      </c>
      <c r="W802" t="s">
        <v>10966</v>
      </c>
      <c r="X802" t="s">
        <v>10967</v>
      </c>
      <c r="Y802" t="s">
        <v>10968</v>
      </c>
      <c r="Z802" t="s">
        <v>74</v>
      </c>
      <c r="AA802" t="s">
        <v>74</v>
      </c>
      <c r="AB802" t="s">
        <v>74</v>
      </c>
      <c r="AC802" t="s">
        <v>74</v>
      </c>
      <c r="AD802" t="s">
        <v>74</v>
      </c>
      <c r="AE802" t="s">
        <v>74</v>
      </c>
      <c r="AF802" t="s">
        <v>74</v>
      </c>
      <c r="AG802">
        <v>28</v>
      </c>
      <c r="AH802">
        <v>0</v>
      </c>
      <c r="AI802">
        <v>0</v>
      </c>
      <c r="AJ802">
        <v>0</v>
      </c>
      <c r="AK802">
        <v>1</v>
      </c>
      <c r="AL802" t="s">
        <v>6007</v>
      </c>
      <c r="AM802" t="s">
        <v>6008</v>
      </c>
      <c r="AN802" t="s">
        <v>6009</v>
      </c>
      <c r="AO802" t="s">
        <v>10969</v>
      </c>
      <c r="AP802" t="s">
        <v>74</v>
      </c>
      <c r="AQ802" t="s">
        <v>74</v>
      </c>
      <c r="AR802" t="s">
        <v>10970</v>
      </c>
      <c r="AS802" t="s">
        <v>10971</v>
      </c>
      <c r="AT802" t="s">
        <v>7731</v>
      </c>
      <c r="AU802">
        <v>2002</v>
      </c>
      <c r="AV802">
        <v>25</v>
      </c>
      <c r="AW802">
        <v>1</v>
      </c>
      <c r="AX802" t="s">
        <v>74</v>
      </c>
      <c r="AY802" t="s">
        <v>74</v>
      </c>
      <c r="AZ802" t="s">
        <v>74</v>
      </c>
      <c r="BA802" t="s">
        <v>74</v>
      </c>
      <c r="BB802">
        <v>123</v>
      </c>
      <c r="BC802">
        <v>135</v>
      </c>
      <c r="BD802" t="s">
        <v>74</v>
      </c>
      <c r="BE802" t="s">
        <v>74</v>
      </c>
      <c r="BF802" t="s">
        <v>74</v>
      </c>
      <c r="BG802" t="s">
        <v>74</v>
      </c>
      <c r="BH802" t="s">
        <v>74</v>
      </c>
      <c r="BI802">
        <v>13</v>
      </c>
      <c r="BJ802" t="s">
        <v>74</v>
      </c>
      <c r="BK802" t="s">
        <v>170</v>
      </c>
      <c r="BL802" t="s">
        <v>74</v>
      </c>
      <c r="BM802" t="s">
        <v>10972</v>
      </c>
      <c r="BN802" t="s">
        <v>74</v>
      </c>
      <c r="BO802" t="s">
        <v>74</v>
      </c>
      <c r="BP802" t="s">
        <v>74</v>
      </c>
      <c r="BQ802" t="s">
        <v>74</v>
      </c>
      <c r="BR802" t="s">
        <v>107</v>
      </c>
      <c r="BS802" t="s">
        <v>10973</v>
      </c>
      <c r="BT802" t="str">
        <f>HYPERLINK("https%3A%2F%2Fwww.webofscience.com%2Fwos%2Fwoscc%2Ffull-record%2FWOS:000176308200007","View Full Record in Web of Science")</f>
        <v>View Full Record in Web of Science</v>
      </c>
    </row>
    <row r="803" spans="1:72" x14ac:dyDescent="0.15">
      <c r="A803" t="s">
        <v>72</v>
      </c>
      <c r="B803" t="s">
        <v>10974</v>
      </c>
      <c r="C803" t="s">
        <v>74</v>
      </c>
      <c r="D803" t="s">
        <v>74</v>
      </c>
      <c r="E803" t="s">
        <v>74</v>
      </c>
      <c r="F803" t="s">
        <v>10975</v>
      </c>
      <c r="G803" t="s">
        <v>74</v>
      </c>
      <c r="H803" t="s">
        <v>74</v>
      </c>
      <c r="I803" t="s">
        <v>10976</v>
      </c>
      <c r="J803" t="s">
        <v>10977</v>
      </c>
      <c r="K803" t="s">
        <v>74</v>
      </c>
      <c r="L803" t="s">
        <v>74</v>
      </c>
      <c r="M803" t="s">
        <v>77</v>
      </c>
      <c r="N803" t="s">
        <v>153</v>
      </c>
      <c r="O803" t="s">
        <v>74</v>
      </c>
      <c r="P803" t="s">
        <v>74</v>
      </c>
      <c r="Q803" t="s">
        <v>74</v>
      </c>
      <c r="R803" t="s">
        <v>74</v>
      </c>
      <c r="S803" t="s">
        <v>74</v>
      </c>
      <c r="T803" t="s">
        <v>10978</v>
      </c>
      <c r="U803" t="s">
        <v>2939</v>
      </c>
      <c r="V803" t="s">
        <v>10979</v>
      </c>
      <c r="W803" t="s">
        <v>10980</v>
      </c>
      <c r="X803" t="s">
        <v>10981</v>
      </c>
      <c r="Y803" t="s">
        <v>10982</v>
      </c>
      <c r="Z803" t="s">
        <v>10983</v>
      </c>
      <c r="AA803" t="s">
        <v>74</v>
      </c>
      <c r="AB803" t="s">
        <v>74</v>
      </c>
      <c r="AC803" t="s">
        <v>10984</v>
      </c>
      <c r="AD803" t="s">
        <v>10984</v>
      </c>
      <c r="AE803" t="s">
        <v>10985</v>
      </c>
      <c r="AF803" t="s">
        <v>74</v>
      </c>
      <c r="AG803">
        <v>23</v>
      </c>
      <c r="AH803">
        <v>5</v>
      </c>
      <c r="AI803">
        <v>6</v>
      </c>
      <c r="AJ803">
        <v>0</v>
      </c>
      <c r="AK803">
        <v>2</v>
      </c>
      <c r="AL803" t="s">
        <v>894</v>
      </c>
      <c r="AM803" t="s">
        <v>895</v>
      </c>
      <c r="AN803" t="s">
        <v>896</v>
      </c>
      <c r="AO803" t="s">
        <v>10986</v>
      </c>
      <c r="AP803" t="s">
        <v>10987</v>
      </c>
      <c r="AQ803" t="s">
        <v>74</v>
      </c>
      <c r="AR803" t="s">
        <v>10988</v>
      </c>
      <c r="AS803" t="s">
        <v>10989</v>
      </c>
      <c r="AT803" t="s">
        <v>74</v>
      </c>
      <c r="AU803">
        <v>2002</v>
      </c>
      <c r="AV803">
        <v>4</v>
      </c>
      <c r="AW803">
        <v>1</v>
      </c>
      <c r="AX803" t="s">
        <v>74</v>
      </c>
      <c r="AY803" t="s">
        <v>74</v>
      </c>
      <c r="AZ803" t="s">
        <v>74</v>
      </c>
      <c r="BA803" t="s">
        <v>74</v>
      </c>
      <c r="BB803">
        <v>1</v>
      </c>
      <c r="BC803">
        <v>25</v>
      </c>
      <c r="BD803" t="s">
        <v>10990</v>
      </c>
      <c r="BE803" t="s">
        <v>10991</v>
      </c>
      <c r="BF803" t="str">
        <f>HYPERLINK("http://dx.doi.org/10.1016/S1463-5003(01)00009-9","http://dx.doi.org/10.1016/S1463-5003(01)00009-9")</f>
        <v>http://dx.doi.org/10.1016/S1463-5003(01)00009-9</v>
      </c>
      <c r="BG803" t="s">
        <v>74</v>
      </c>
      <c r="BH803" t="s">
        <v>74</v>
      </c>
      <c r="BI803">
        <v>25</v>
      </c>
      <c r="BJ803" t="s">
        <v>5144</v>
      </c>
      <c r="BK803" t="s">
        <v>170</v>
      </c>
      <c r="BL803" t="s">
        <v>5144</v>
      </c>
      <c r="BM803" t="s">
        <v>10992</v>
      </c>
      <c r="BN803" t="s">
        <v>74</v>
      </c>
      <c r="BO803" t="s">
        <v>74</v>
      </c>
      <c r="BP803" t="s">
        <v>74</v>
      </c>
      <c r="BQ803" t="s">
        <v>74</v>
      </c>
      <c r="BR803" t="s">
        <v>107</v>
      </c>
      <c r="BS803" t="s">
        <v>10993</v>
      </c>
      <c r="BT803" t="str">
        <f>HYPERLINK("https%3A%2F%2Fwww.webofscience.com%2Fwos%2Fwoscc%2Ffull-record%2FWOS:000207111600001","View Full Record in Web of Science")</f>
        <v>View Full Record in Web of Science</v>
      </c>
    </row>
    <row r="804" spans="1:72" x14ac:dyDescent="0.15">
      <c r="A804" t="s">
        <v>72</v>
      </c>
      <c r="B804" t="s">
        <v>10994</v>
      </c>
      <c r="C804" t="s">
        <v>74</v>
      </c>
      <c r="D804" t="s">
        <v>74</v>
      </c>
      <c r="E804" t="s">
        <v>74</v>
      </c>
      <c r="F804" t="s">
        <v>10995</v>
      </c>
      <c r="G804" t="s">
        <v>74</v>
      </c>
      <c r="H804" t="s">
        <v>74</v>
      </c>
      <c r="I804" t="s">
        <v>10996</v>
      </c>
      <c r="J804" t="s">
        <v>10977</v>
      </c>
      <c r="K804" t="s">
        <v>74</v>
      </c>
      <c r="L804" t="s">
        <v>74</v>
      </c>
      <c r="M804" t="s">
        <v>77</v>
      </c>
      <c r="N804" t="s">
        <v>153</v>
      </c>
      <c r="O804" t="s">
        <v>74</v>
      </c>
      <c r="P804" t="s">
        <v>74</v>
      </c>
      <c r="Q804" t="s">
        <v>74</v>
      </c>
      <c r="R804" t="s">
        <v>74</v>
      </c>
      <c r="S804" t="s">
        <v>74</v>
      </c>
      <c r="T804" t="s">
        <v>10997</v>
      </c>
      <c r="U804" t="s">
        <v>74</v>
      </c>
      <c r="V804" t="s">
        <v>10998</v>
      </c>
      <c r="W804" t="s">
        <v>10999</v>
      </c>
      <c r="X804" t="s">
        <v>11000</v>
      </c>
      <c r="Y804" t="s">
        <v>11001</v>
      </c>
      <c r="Z804" t="s">
        <v>11002</v>
      </c>
      <c r="AA804" t="s">
        <v>74</v>
      </c>
      <c r="AB804" t="s">
        <v>74</v>
      </c>
      <c r="AC804" t="s">
        <v>74</v>
      </c>
      <c r="AD804" t="s">
        <v>74</v>
      </c>
      <c r="AE804" t="s">
        <v>74</v>
      </c>
      <c r="AF804" t="s">
        <v>74</v>
      </c>
      <c r="AG804">
        <v>48</v>
      </c>
      <c r="AH804">
        <v>127</v>
      </c>
      <c r="AI804">
        <v>135</v>
      </c>
      <c r="AJ804">
        <v>1</v>
      </c>
      <c r="AK804">
        <v>9</v>
      </c>
      <c r="AL804" t="s">
        <v>894</v>
      </c>
      <c r="AM804" t="s">
        <v>895</v>
      </c>
      <c r="AN804" t="s">
        <v>896</v>
      </c>
      <c r="AO804" t="s">
        <v>10986</v>
      </c>
      <c r="AP804" t="s">
        <v>10987</v>
      </c>
      <c r="AQ804" t="s">
        <v>74</v>
      </c>
      <c r="AR804" t="s">
        <v>10988</v>
      </c>
      <c r="AS804" t="s">
        <v>10989</v>
      </c>
      <c r="AT804" t="s">
        <v>74</v>
      </c>
      <c r="AU804">
        <v>2002</v>
      </c>
      <c r="AV804">
        <v>4</v>
      </c>
      <c r="AW804">
        <v>2</v>
      </c>
      <c r="AX804" t="s">
        <v>74</v>
      </c>
      <c r="AY804" t="s">
        <v>74</v>
      </c>
      <c r="AZ804" t="s">
        <v>74</v>
      </c>
      <c r="BA804" t="s">
        <v>74</v>
      </c>
      <c r="BB804">
        <v>137</v>
      </c>
      <c r="BC804">
        <v>172</v>
      </c>
      <c r="BD804" t="s">
        <v>11003</v>
      </c>
      <c r="BE804" t="s">
        <v>74</v>
      </c>
      <c r="BF804" t="s">
        <v>74</v>
      </c>
      <c r="BG804" t="s">
        <v>74</v>
      </c>
      <c r="BH804" t="s">
        <v>74</v>
      </c>
      <c r="BI804">
        <v>36</v>
      </c>
      <c r="BJ804" t="s">
        <v>5144</v>
      </c>
      <c r="BK804" t="s">
        <v>170</v>
      </c>
      <c r="BL804" t="s">
        <v>5144</v>
      </c>
      <c r="BM804" t="s">
        <v>11004</v>
      </c>
      <c r="BN804" t="s">
        <v>74</v>
      </c>
      <c r="BO804" t="s">
        <v>74</v>
      </c>
      <c r="BP804" t="s">
        <v>74</v>
      </c>
      <c r="BQ804" t="s">
        <v>74</v>
      </c>
      <c r="BR804" t="s">
        <v>107</v>
      </c>
      <c r="BS804" t="s">
        <v>11005</v>
      </c>
      <c r="BT804" t="str">
        <f>HYPERLINK("https%3A%2F%2Fwww.webofscience.com%2Fwos%2Fwoscc%2Ffull-record%2FWOS:000207111700003","View Full Record in Web of Science")</f>
        <v>View Full Record in Web of Science</v>
      </c>
    </row>
    <row r="805" spans="1:72" x14ac:dyDescent="0.15">
      <c r="A805" t="s">
        <v>1051</v>
      </c>
      <c r="B805" t="s">
        <v>11006</v>
      </c>
      <c r="C805" t="s">
        <v>74</v>
      </c>
      <c r="D805" t="s">
        <v>11007</v>
      </c>
      <c r="E805" t="s">
        <v>74</v>
      </c>
      <c r="F805" t="s">
        <v>11006</v>
      </c>
      <c r="G805" t="s">
        <v>74</v>
      </c>
      <c r="H805" t="s">
        <v>74</v>
      </c>
      <c r="I805" t="s">
        <v>11008</v>
      </c>
      <c r="J805" t="s">
        <v>11009</v>
      </c>
      <c r="K805" t="s">
        <v>11010</v>
      </c>
      <c r="L805" t="s">
        <v>74</v>
      </c>
      <c r="M805" t="s">
        <v>77</v>
      </c>
      <c r="N805" t="s">
        <v>947</v>
      </c>
      <c r="O805" t="s">
        <v>74</v>
      </c>
      <c r="P805" t="s">
        <v>74</v>
      </c>
      <c r="Q805" t="s">
        <v>74</v>
      </c>
      <c r="R805" t="s">
        <v>74</v>
      </c>
      <c r="S805" t="s">
        <v>74</v>
      </c>
      <c r="T805" t="s">
        <v>74</v>
      </c>
      <c r="U805" t="s">
        <v>11011</v>
      </c>
      <c r="V805" t="s">
        <v>11012</v>
      </c>
      <c r="W805" t="s">
        <v>11013</v>
      </c>
      <c r="X805" t="s">
        <v>11014</v>
      </c>
      <c r="Y805" t="s">
        <v>11015</v>
      </c>
      <c r="Z805" t="s">
        <v>11016</v>
      </c>
      <c r="AA805" t="s">
        <v>74</v>
      </c>
      <c r="AB805" t="s">
        <v>74</v>
      </c>
      <c r="AC805" t="s">
        <v>74</v>
      </c>
      <c r="AD805" t="s">
        <v>74</v>
      </c>
      <c r="AE805" t="s">
        <v>74</v>
      </c>
      <c r="AF805" t="s">
        <v>74</v>
      </c>
      <c r="AG805">
        <v>155</v>
      </c>
      <c r="AH805">
        <v>22</v>
      </c>
      <c r="AI805">
        <v>25</v>
      </c>
      <c r="AJ805">
        <v>0</v>
      </c>
      <c r="AK805">
        <v>5</v>
      </c>
      <c r="AL805" t="s">
        <v>453</v>
      </c>
      <c r="AM805" t="s">
        <v>1127</v>
      </c>
      <c r="AN805" t="s">
        <v>11017</v>
      </c>
      <c r="AO805" t="s">
        <v>11018</v>
      </c>
      <c r="AP805" t="s">
        <v>74</v>
      </c>
      <c r="AQ805" t="s">
        <v>11019</v>
      </c>
      <c r="AR805" t="s">
        <v>11020</v>
      </c>
      <c r="AS805" t="s">
        <v>11021</v>
      </c>
      <c r="AT805" t="s">
        <v>74</v>
      </c>
      <c r="AU805">
        <v>2002</v>
      </c>
      <c r="AV805">
        <v>40</v>
      </c>
      <c r="AW805" t="s">
        <v>74</v>
      </c>
      <c r="AX805" t="s">
        <v>74</v>
      </c>
      <c r="AY805" t="s">
        <v>74</v>
      </c>
      <c r="AZ805" t="s">
        <v>74</v>
      </c>
      <c r="BA805" t="s">
        <v>74</v>
      </c>
      <c r="BB805">
        <v>1</v>
      </c>
      <c r="BC805">
        <v>35</v>
      </c>
      <c r="BD805" t="s">
        <v>74</v>
      </c>
      <c r="BE805" t="s">
        <v>74</v>
      </c>
      <c r="BF805" t="s">
        <v>74</v>
      </c>
      <c r="BG805" t="s">
        <v>74</v>
      </c>
      <c r="BH805" t="s">
        <v>74</v>
      </c>
      <c r="BI805">
        <v>35</v>
      </c>
      <c r="BJ805" t="s">
        <v>1394</v>
      </c>
      <c r="BK805" t="s">
        <v>170</v>
      </c>
      <c r="BL805" t="s">
        <v>1394</v>
      </c>
      <c r="BM805" t="s">
        <v>11022</v>
      </c>
      <c r="BN805" t="s">
        <v>74</v>
      </c>
      <c r="BO805" t="s">
        <v>74</v>
      </c>
      <c r="BP805" t="s">
        <v>74</v>
      </c>
      <c r="BQ805" t="s">
        <v>74</v>
      </c>
      <c r="BR805" t="s">
        <v>107</v>
      </c>
      <c r="BS805" t="s">
        <v>11023</v>
      </c>
      <c r="BT805" t="str">
        <f>HYPERLINK("https%3A%2F%2Fwww.webofscience.com%2Fwos%2Fwoscc%2Ffull-record%2FWOS:000179883800001","View Full Record in Web of Science")</f>
        <v>View Full Record in Web of Science</v>
      </c>
    </row>
    <row r="806" spans="1:72" x14ac:dyDescent="0.15">
      <c r="A806" t="s">
        <v>1051</v>
      </c>
      <c r="B806" t="s">
        <v>6858</v>
      </c>
      <c r="C806" t="s">
        <v>74</v>
      </c>
      <c r="D806" t="s">
        <v>11007</v>
      </c>
      <c r="E806" t="s">
        <v>74</v>
      </c>
      <c r="F806" t="s">
        <v>6858</v>
      </c>
      <c r="G806" t="s">
        <v>74</v>
      </c>
      <c r="H806" t="s">
        <v>74</v>
      </c>
      <c r="I806" t="s">
        <v>11024</v>
      </c>
      <c r="J806" t="s">
        <v>11009</v>
      </c>
      <c r="K806" t="s">
        <v>11010</v>
      </c>
      <c r="L806" t="s">
        <v>74</v>
      </c>
      <c r="M806" t="s">
        <v>77</v>
      </c>
      <c r="N806" t="s">
        <v>153</v>
      </c>
      <c r="O806" t="s">
        <v>74</v>
      </c>
      <c r="P806" t="s">
        <v>74</v>
      </c>
      <c r="Q806" t="s">
        <v>74</v>
      </c>
      <c r="R806" t="s">
        <v>74</v>
      </c>
      <c r="S806" t="s">
        <v>74</v>
      </c>
      <c r="T806" t="s">
        <v>74</v>
      </c>
      <c r="U806" t="s">
        <v>11025</v>
      </c>
      <c r="V806" t="s">
        <v>11026</v>
      </c>
      <c r="W806" t="s">
        <v>11027</v>
      </c>
      <c r="X806" t="s">
        <v>2368</v>
      </c>
      <c r="Y806" t="s">
        <v>11028</v>
      </c>
      <c r="Z806" t="s">
        <v>11029</v>
      </c>
      <c r="AA806" t="s">
        <v>11030</v>
      </c>
      <c r="AB806" t="s">
        <v>11031</v>
      </c>
      <c r="AC806" t="s">
        <v>74</v>
      </c>
      <c r="AD806" t="s">
        <v>74</v>
      </c>
      <c r="AE806" t="s">
        <v>74</v>
      </c>
      <c r="AF806" t="s">
        <v>74</v>
      </c>
      <c r="AG806">
        <v>154</v>
      </c>
      <c r="AH806">
        <v>37</v>
      </c>
      <c r="AI806">
        <v>42</v>
      </c>
      <c r="AJ806">
        <v>0</v>
      </c>
      <c r="AK806">
        <v>25</v>
      </c>
      <c r="AL806" t="s">
        <v>453</v>
      </c>
      <c r="AM806" t="s">
        <v>1127</v>
      </c>
      <c r="AN806" t="s">
        <v>11017</v>
      </c>
      <c r="AO806" t="s">
        <v>11018</v>
      </c>
      <c r="AP806" t="s">
        <v>74</v>
      </c>
      <c r="AQ806" t="s">
        <v>11019</v>
      </c>
      <c r="AR806" t="s">
        <v>11020</v>
      </c>
      <c r="AS806" t="s">
        <v>11021</v>
      </c>
      <c r="AT806" t="s">
        <v>74</v>
      </c>
      <c r="AU806">
        <v>2002</v>
      </c>
      <c r="AV806">
        <v>40</v>
      </c>
      <c r="AW806" t="s">
        <v>74</v>
      </c>
      <c r="AX806" t="s">
        <v>74</v>
      </c>
      <c r="AY806" t="s">
        <v>74</v>
      </c>
      <c r="AZ806" t="s">
        <v>74</v>
      </c>
      <c r="BA806" t="s">
        <v>74</v>
      </c>
      <c r="BB806">
        <v>143</v>
      </c>
      <c r="BC806">
        <v>169</v>
      </c>
      <c r="BD806" t="s">
        <v>74</v>
      </c>
      <c r="BE806" t="s">
        <v>74</v>
      </c>
      <c r="BF806" t="s">
        <v>74</v>
      </c>
      <c r="BG806" t="s">
        <v>74</v>
      </c>
      <c r="BH806" t="s">
        <v>74</v>
      </c>
      <c r="BI806">
        <v>27</v>
      </c>
      <c r="BJ806" t="s">
        <v>1394</v>
      </c>
      <c r="BK806" t="s">
        <v>170</v>
      </c>
      <c r="BL806" t="s">
        <v>1394</v>
      </c>
      <c r="BM806" t="s">
        <v>11022</v>
      </c>
      <c r="BN806" t="s">
        <v>74</v>
      </c>
      <c r="BO806" t="s">
        <v>74</v>
      </c>
      <c r="BP806" t="s">
        <v>74</v>
      </c>
      <c r="BQ806" t="s">
        <v>74</v>
      </c>
      <c r="BR806" t="s">
        <v>107</v>
      </c>
      <c r="BS806" t="s">
        <v>11032</v>
      </c>
      <c r="BT806" t="str">
        <f>HYPERLINK("https%3A%2F%2Fwww.webofscience.com%2Fwos%2Fwoscc%2Ffull-record%2FWOS:000179883800003","View Full Record in Web of Science")</f>
        <v>View Full Record in Web of Science</v>
      </c>
    </row>
    <row r="807" spans="1:72" x14ac:dyDescent="0.15">
      <c r="A807" t="s">
        <v>72</v>
      </c>
      <c r="B807" t="s">
        <v>11033</v>
      </c>
      <c r="C807" t="s">
        <v>74</v>
      </c>
      <c r="D807" t="s">
        <v>74</v>
      </c>
      <c r="E807" t="s">
        <v>74</v>
      </c>
      <c r="F807" t="s">
        <v>11033</v>
      </c>
      <c r="G807" t="s">
        <v>74</v>
      </c>
      <c r="H807" t="s">
        <v>74</v>
      </c>
      <c r="I807" t="s">
        <v>11034</v>
      </c>
      <c r="J807" t="s">
        <v>2938</v>
      </c>
      <c r="K807" t="s">
        <v>74</v>
      </c>
      <c r="L807" t="s">
        <v>74</v>
      </c>
      <c r="M807" t="s">
        <v>77</v>
      </c>
      <c r="N807" t="s">
        <v>153</v>
      </c>
      <c r="O807" t="s">
        <v>74</v>
      </c>
      <c r="P807" t="s">
        <v>74</v>
      </c>
      <c r="Q807" t="s">
        <v>74</v>
      </c>
      <c r="R807" t="s">
        <v>74</v>
      </c>
      <c r="S807" t="s">
        <v>74</v>
      </c>
      <c r="T807" t="s">
        <v>74</v>
      </c>
      <c r="U807" t="s">
        <v>11035</v>
      </c>
      <c r="V807" t="s">
        <v>11036</v>
      </c>
      <c r="W807" t="s">
        <v>11037</v>
      </c>
      <c r="X807" t="s">
        <v>2942</v>
      </c>
      <c r="Y807" t="s">
        <v>11038</v>
      </c>
      <c r="Z807" t="s">
        <v>74</v>
      </c>
      <c r="AA807" t="s">
        <v>11039</v>
      </c>
      <c r="AB807" t="s">
        <v>11040</v>
      </c>
      <c r="AC807" t="s">
        <v>74</v>
      </c>
      <c r="AD807" t="s">
        <v>74</v>
      </c>
      <c r="AE807" t="s">
        <v>74</v>
      </c>
      <c r="AF807" t="s">
        <v>74</v>
      </c>
      <c r="AG807">
        <v>11</v>
      </c>
      <c r="AH807">
        <v>5</v>
      </c>
      <c r="AI807">
        <v>5</v>
      </c>
      <c r="AJ807">
        <v>0</v>
      </c>
      <c r="AK807">
        <v>1</v>
      </c>
      <c r="AL807" t="s">
        <v>1179</v>
      </c>
      <c r="AM807" t="s">
        <v>1180</v>
      </c>
      <c r="AN807" t="s">
        <v>1181</v>
      </c>
      <c r="AO807" t="s">
        <v>2944</v>
      </c>
      <c r="AP807" t="s">
        <v>74</v>
      </c>
      <c r="AQ807" t="s">
        <v>74</v>
      </c>
      <c r="AR807" t="s">
        <v>2945</v>
      </c>
      <c r="AS807" t="s">
        <v>2946</v>
      </c>
      <c r="AT807" t="s">
        <v>7731</v>
      </c>
      <c r="AU807">
        <v>2002</v>
      </c>
      <c r="AV807">
        <v>42</v>
      </c>
      <c r="AW807">
        <v>1</v>
      </c>
      <c r="AX807" t="s">
        <v>74</v>
      </c>
      <c r="AY807" t="s">
        <v>74</v>
      </c>
      <c r="AZ807" t="s">
        <v>74</v>
      </c>
      <c r="BA807" t="s">
        <v>74</v>
      </c>
      <c r="BB807">
        <v>1</v>
      </c>
      <c r="BC807">
        <v>6</v>
      </c>
      <c r="BD807" t="s">
        <v>74</v>
      </c>
      <c r="BE807" t="s">
        <v>74</v>
      </c>
      <c r="BF807" t="s">
        <v>74</v>
      </c>
      <c r="BG807" t="s">
        <v>74</v>
      </c>
      <c r="BH807" t="s">
        <v>74</v>
      </c>
      <c r="BI807">
        <v>6</v>
      </c>
      <c r="BJ807" t="s">
        <v>1155</v>
      </c>
      <c r="BK807" t="s">
        <v>170</v>
      </c>
      <c r="BL807" t="s">
        <v>1155</v>
      </c>
      <c r="BM807" t="s">
        <v>11041</v>
      </c>
      <c r="BN807" t="s">
        <v>74</v>
      </c>
      <c r="BO807" t="s">
        <v>74</v>
      </c>
      <c r="BP807" t="s">
        <v>74</v>
      </c>
      <c r="BQ807" t="s">
        <v>74</v>
      </c>
      <c r="BR807" t="s">
        <v>107</v>
      </c>
      <c r="BS807" t="s">
        <v>11042</v>
      </c>
      <c r="BT807" t="str">
        <f>HYPERLINK("https%3A%2F%2Fwww.webofscience.com%2Fwos%2Fwoscc%2Ffull-record%2FWOS:000174085300001","View Full Record in Web of Science")</f>
        <v>View Full Record in Web of Science</v>
      </c>
    </row>
    <row r="808" spans="1:72" x14ac:dyDescent="0.15">
      <c r="A808" t="s">
        <v>72</v>
      </c>
      <c r="B808" t="s">
        <v>11043</v>
      </c>
      <c r="C808" t="s">
        <v>74</v>
      </c>
      <c r="D808" t="s">
        <v>74</v>
      </c>
      <c r="E808" t="s">
        <v>74</v>
      </c>
      <c r="F808" t="s">
        <v>11043</v>
      </c>
      <c r="G808" t="s">
        <v>74</v>
      </c>
      <c r="H808" t="s">
        <v>74</v>
      </c>
      <c r="I808" t="s">
        <v>11044</v>
      </c>
      <c r="J808" t="s">
        <v>2938</v>
      </c>
      <c r="K808" t="s">
        <v>74</v>
      </c>
      <c r="L808" t="s">
        <v>74</v>
      </c>
      <c r="M808" t="s">
        <v>77</v>
      </c>
      <c r="N808" t="s">
        <v>153</v>
      </c>
      <c r="O808" t="s">
        <v>74</v>
      </c>
      <c r="P808" t="s">
        <v>74</v>
      </c>
      <c r="Q808" t="s">
        <v>74</v>
      </c>
      <c r="R808" t="s">
        <v>74</v>
      </c>
      <c r="S808" t="s">
        <v>74</v>
      </c>
      <c r="T808" t="s">
        <v>74</v>
      </c>
      <c r="U808" t="s">
        <v>11045</v>
      </c>
      <c r="V808" t="s">
        <v>11046</v>
      </c>
      <c r="W808" t="s">
        <v>11037</v>
      </c>
      <c r="X808" t="s">
        <v>2942</v>
      </c>
      <c r="Y808" t="s">
        <v>11047</v>
      </c>
      <c r="Z808" t="s">
        <v>74</v>
      </c>
      <c r="AA808" t="s">
        <v>74</v>
      </c>
      <c r="AB808" t="s">
        <v>74</v>
      </c>
      <c r="AC808" t="s">
        <v>74</v>
      </c>
      <c r="AD808" t="s">
        <v>74</v>
      </c>
      <c r="AE808" t="s">
        <v>74</v>
      </c>
      <c r="AF808" t="s">
        <v>74</v>
      </c>
      <c r="AG808">
        <v>33</v>
      </c>
      <c r="AH808">
        <v>1</v>
      </c>
      <c r="AI808">
        <v>1</v>
      </c>
      <c r="AJ808">
        <v>0</v>
      </c>
      <c r="AK808">
        <v>1</v>
      </c>
      <c r="AL808" t="s">
        <v>1179</v>
      </c>
      <c r="AM808" t="s">
        <v>1180</v>
      </c>
      <c r="AN808" t="s">
        <v>1181</v>
      </c>
      <c r="AO808" t="s">
        <v>2944</v>
      </c>
      <c r="AP808" t="s">
        <v>74</v>
      </c>
      <c r="AQ808" t="s">
        <v>74</v>
      </c>
      <c r="AR808" t="s">
        <v>2945</v>
      </c>
      <c r="AS808" t="s">
        <v>2946</v>
      </c>
      <c r="AT808" t="s">
        <v>7731</v>
      </c>
      <c r="AU808">
        <v>2002</v>
      </c>
      <c r="AV808">
        <v>42</v>
      </c>
      <c r="AW808">
        <v>1</v>
      </c>
      <c r="AX808" t="s">
        <v>74</v>
      </c>
      <c r="AY808" t="s">
        <v>74</v>
      </c>
      <c r="AZ808" t="s">
        <v>74</v>
      </c>
      <c r="BA808" t="s">
        <v>74</v>
      </c>
      <c r="BB808">
        <v>68</v>
      </c>
      <c r="BC808">
        <v>76</v>
      </c>
      <c r="BD808" t="s">
        <v>74</v>
      </c>
      <c r="BE808" t="s">
        <v>74</v>
      </c>
      <c r="BF808" t="s">
        <v>74</v>
      </c>
      <c r="BG808" t="s">
        <v>74</v>
      </c>
      <c r="BH808" t="s">
        <v>74</v>
      </c>
      <c r="BI808">
        <v>9</v>
      </c>
      <c r="BJ808" t="s">
        <v>1155</v>
      </c>
      <c r="BK808" t="s">
        <v>170</v>
      </c>
      <c r="BL808" t="s">
        <v>1155</v>
      </c>
      <c r="BM808" t="s">
        <v>11041</v>
      </c>
      <c r="BN808" t="s">
        <v>74</v>
      </c>
      <c r="BO808" t="s">
        <v>74</v>
      </c>
      <c r="BP808" t="s">
        <v>74</v>
      </c>
      <c r="BQ808" t="s">
        <v>74</v>
      </c>
      <c r="BR808" t="s">
        <v>107</v>
      </c>
      <c r="BS808" t="s">
        <v>11048</v>
      </c>
      <c r="BT808" t="str">
        <f>HYPERLINK("https%3A%2F%2Fwww.webofscience.com%2Fwos%2Fwoscc%2Ffull-record%2FWOS:000174085300009","View Full Record in Web of Science")</f>
        <v>View Full Record in Web of Science</v>
      </c>
    </row>
    <row r="809" spans="1:72" x14ac:dyDescent="0.15">
      <c r="A809" t="s">
        <v>72</v>
      </c>
      <c r="B809" t="s">
        <v>11049</v>
      </c>
      <c r="C809" t="s">
        <v>74</v>
      </c>
      <c r="D809" t="s">
        <v>74</v>
      </c>
      <c r="E809" t="s">
        <v>74</v>
      </c>
      <c r="F809" t="s">
        <v>11049</v>
      </c>
      <c r="G809" t="s">
        <v>74</v>
      </c>
      <c r="H809" t="s">
        <v>74</v>
      </c>
      <c r="I809" t="s">
        <v>11050</v>
      </c>
      <c r="J809" t="s">
        <v>2938</v>
      </c>
      <c r="K809" t="s">
        <v>74</v>
      </c>
      <c r="L809" t="s">
        <v>74</v>
      </c>
      <c r="M809" t="s">
        <v>77</v>
      </c>
      <c r="N809" t="s">
        <v>153</v>
      </c>
      <c r="O809" t="s">
        <v>74</v>
      </c>
      <c r="P809" t="s">
        <v>74</v>
      </c>
      <c r="Q809" t="s">
        <v>74</v>
      </c>
      <c r="R809" t="s">
        <v>74</v>
      </c>
      <c r="S809" t="s">
        <v>74</v>
      </c>
      <c r="T809" t="s">
        <v>74</v>
      </c>
      <c r="U809" t="s">
        <v>11051</v>
      </c>
      <c r="V809" t="s">
        <v>11052</v>
      </c>
      <c r="W809" t="s">
        <v>11037</v>
      </c>
      <c r="X809" t="s">
        <v>2942</v>
      </c>
      <c r="Y809" t="s">
        <v>11053</v>
      </c>
      <c r="Z809" t="s">
        <v>74</v>
      </c>
      <c r="AA809" t="s">
        <v>74</v>
      </c>
      <c r="AB809" t="s">
        <v>74</v>
      </c>
      <c r="AC809" t="s">
        <v>74</v>
      </c>
      <c r="AD809" t="s">
        <v>74</v>
      </c>
      <c r="AE809" t="s">
        <v>74</v>
      </c>
      <c r="AF809" t="s">
        <v>74</v>
      </c>
      <c r="AG809">
        <v>70</v>
      </c>
      <c r="AH809">
        <v>1</v>
      </c>
      <c r="AI809">
        <v>1</v>
      </c>
      <c r="AJ809">
        <v>0</v>
      </c>
      <c r="AK809">
        <v>3</v>
      </c>
      <c r="AL809" t="s">
        <v>1197</v>
      </c>
      <c r="AM809" t="s">
        <v>195</v>
      </c>
      <c r="AN809" t="s">
        <v>1198</v>
      </c>
      <c r="AO809" t="s">
        <v>2944</v>
      </c>
      <c r="AP809" t="s">
        <v>2956</v>
      </c>
      <c r="AQ809" t="s">
        <v>74</v>
      </c>
      <c r="AR809" t="s">
        <v>2945</v>
      </c>
      <c r="AS809" t="s">
        <v>2946</v>
      </c>
      <c r="AT809" t="s">
        <v>7731</v>
      </c>
      <c r="AU809">
        <v>2002</v>
      </c>
      <c r="AV809">
        <v>42</v>
      </c>
      <c r="AW809">
        <v>1</v>
      </c>
      <c r="AX809" t="s">
        <v>74</v>
      </c>
      <c r="AY809" t="s">
        <v>74</v>
      </c>
      <c r="AZ809" t="s">
        <v>74</v>
      </c>
      <c r="BA809" t="s">
        <v>74</v>
      </c>
      <c r="BB809">
        <v>120</v>
      </c>
      <c r="BC809">
        <v>131</v>
      </c>
      <c r="BD809" t="s">
        <v>74</v>
      </c>
      <c r="BE809" t="s">
        <v>74</v>
      </c>
      <c r="BF809" t="s">
        <v>74</v>
      </c>
      <c r="BG809" t="s">
        <v>74</v>
      </c>
      <c r="BH809" t="s">
        <v>74</v>
      </c>
      <c r="BI809">
        <v>12</v>
      </c>
      <c r="BJ809" t="s">
        <v>1155</v>
      </c>
      <c r="BK809" t="s">
        <v>170</v>
      </c>
      <c r="BL809" t="s">
        <v>1155</v>
      </c>
      <c r="BM809" t="s">
        <v>11041</v>
      </c>
      <c r="BN809" t="s">
        <v>74</v>
      </c>
      <c r="BO809" t="s">
        <v>74</v>
      </c>
      <c r="BP809" t="s">
        <v>74</v>
      </c>
      <c r="BQ809" t="s">
        <v>74</v>
      </c>
      <c r="BR809" t="s">
        <v>107</v>
      </c>
      <c r="BS809" t="s">
        <v>11054</v>
      </c>
      <c r="BT809" t="str">
        <f>HYPERLINK("https%3A%2F%2Fwww.webofscience.com%2Fwos%2Fwoscc%2Ffull-record%2FWOS:000174085300017","View Full Record in Web of Science")</f>
        <v>View Full Record in Web of Science</v>
      </c>
    </row>
    <row r="810" spans="1:72" x14ac:dyDescent="0.15">
      <c r="A810" t="s">
        <v>72</v>
      </c>
      <c r="B810" t="s">
        <v>11055</v>
      </c>
      <c r="C810" t="s">
        <v>74</v>
      </c>
      <c r="D810" t="s">
        <v>74</v>
      </c>
      <c r="E810" t="s">
        <v>74</v>
      </c>
      <c r="F810" t="s">
        <v>11055</v>
      </c>
      <c r="G810" t="s">
        <v>74</v>
      </c>
      <c r="H810" t="s">
        <v>74</v>
      </c>
      <c r="I810" t="s">
        <v>11056</v>
      </c>
      <c r="J810" t="s">
        <v>6683</v>
      </c>
      <c r="K810" t="s">
        <v>74</v>
      </c>
      <c r="L810" t="s">
        <v>74</v>
      </c>
      <c r="M810" t="s">
        <v>77</v>
      </c>
      <c r="N810" t="s">
        <v>153</v>
      </c>
      <c r="O810" t="s">
        <v>74</v>
      </c>
      <c r="P810" t="s">
        <v>74</v>
      </c>
      <c r="Q810" t="s">
        <v>74</v>
      </c>
      <c r="R810" t="s">
        <v>74</v>
      </c>
      <c r="S810" t="s">
        <v>74</v>
      </c>
      <c r="T810" t="s">
        <v>11057</v>
      </c>
      <c r="U810" t="s">
        <v>11058</v>
      </c>
      <c r="V810" t="s">
        <v>11059</v>
      </c>
      <c r="W810" t="s">
        <v>11060</v>
      </c>
      <c r="X810" t="s">
        <v>11061</v>
      </c>
      <c r="Y810" t="s">
        <v>2257</v>
      </c>
      <c r="Z810" t="s">
        <v>74</v>
      </c>
      <c r="AA810" t="s">
        <v>11062</v>
      </c>
      <c r="AB810" t="s">
        <v>11063</v>
      </c>
      <c r="AC810" t="s">
        <v>74</v>
      </c>
      <c r="AD810" t="s">
        <v>74</v>
      </c>
      <c r="AE810" t="s">
        <v>74</v>
      </c>
      <c r="AF810" t="s">
        <v>74</v>
      </c>
      <c r="AG810">
        <v>34</v>
      </c>
      <c r="AH810">
        <v>21</v>
      </c>
      <c r="AI810">
        <v>22</v>
      </c>
      <c r="AJ810">
        <v>1</v>
      </c>
      <c r="AK810">
        <v>16</v>
      </c>
      <c r="AL810" t="s">
        <v>290</v>
      </c>
      <c r="AM810" t="s">
        <v>195</v>
      </c>
      <c r="AN810" t="s">
        <v>291</v>
      </c>
      <c r="AO810" t="s">
        <v>6690</v>
      </c>
      <c r="AP810" t="s">
        <v>74</v>
      </c>
      <c r="AQ810" t="s">
        <v>74</v>
      </c>
      <c r="AR810" t="s">
        <v>6683</v>
      </c>
      <c r="AS810" t="s">
        <v>6691</v>
      </c>
      <c r="AT810" t="s">
        <v>7127</v>
      </c>
      <c r="AU810">
        <v>2002</v>
      </c>
      <c r="AV810">
        <v>130</v>
      </c>
      <c r="AW810">
        <v>2</v>
      </c>
      <c r="AX810" t="s">
        <v>74</v>
      </c>
      <c r="AY810" t="s">
        <v>74</v>
      </c>
      <c r="AZ810" t="s">
        <v>74</v>
      </c>
      <c r="BA810" t="s">
        <v>74</v>
      </c>
      <c r="BB810">
        <v>309</v>
      </c>
      <c r="BC810">
        <v>314</v>
      </c>
      <c r="BD810" t="s">
        <v>74</v>
      </c>
      <c r="BE810" t="s">
        <v>11064</v>
      </c>
      <c r="BF810" t="str">
        <f>HYPERLINK("http://dx.doi.org/10.1007/s004420100807","http://dx.doi.org/10.1007/s004420100807")</f>
        <v>http://dx.doi.org/10.1007/s004420100807</v>
      </c>
      <c r="BG810" t="s">
        <v>74</v>
      </c>
      <c r="BH810" t="s">
        <v>74</v>
      </c>
      <c r="BI810">
        <v>6</v>
      </c>
      <c r="BJ810" t="s">
        <v>3878</v>
      </c>
      <c r="BK810" t="s">
        <v>170</v>
      </c>
      <c r="BL810" t="s">
        <v>1020</v>
      </c>
      <c r="BM810" t="s">
        <v>11065</v>
      </c>
      <c r="BN810">
        <v>28547155</v>
      </c>
      <c r="BO810" t="s">
        <v>74</v>
      </c>
      <c r="BP810" t="s">
        <v>74</v>
      </c>
      <c r="BQ810" t="s">
        <v>74</v>
      </c>
      <c r="BR810" t="s">
        <v>107</v>
      </c>
      <c r="BS810" t="s">
        <v>11066</v>
      </c>
      <c r="BT810" t="str">
        <f>HYPERLINK("https%3A%2F%2Fwww.webofscience.com%2Fwos%2Fwoscc%2Ffull-record%2FWOS:000173912100018","View Full Record in Web of Science")</f>
        <v>View Full Record in Web of Science</v>
      </c>
    </row>
    <row r="811" spans="1:72" x14ac:dyDescent="0.15">
      <c r="A811" t="s">
        <v>72</v>
      </c>
      <c r="B811" t="s">
        <v>11067</v>
      </c>
      <c r="C811" t="s">
        <v>74</v>
      </c>
      <c r="D811" t="s">
        <v>74</v>
      </c>
      <c r="E811" t="s">
        <v>74</v>
      </c>
      <c r="F811" t="s">
        <v>11067</v>
      </c>
      <c r="G811" t="s">
        <v>74</v>
      </c>
      <c r="H811" t="s">
        <v>74</v>
      </c>
      <c r="I811" t="s">
        <v>11068</v>
      </c>
      <c r="J811" t="s">
        <v>11069</v>
      </c>
      <c r="K811" t="s">
        <v>74</v>
      </c>
      <c r="L811" t="s">
        <v>74</v>
      </c>
      <c r="M811" t="s">
        <v>77</v>
      </c>
      <c r="N811" t="s">
        <v>153</v>
      </c>
      <c r="O811" t="s">
        <v>74</v>
      </c>
      <c r="P811" t="s">
        <v>74</v>
      </c>
      <c r="Q811" t="s">
        <v>74</v>
      </c>
      <c r="R811" t="s">
        <v>74</v>
      </c>
      <c r="S811" t="s">
        <v>74</v>
      </c>
      <c r="T811" t="s">
        <v>74</v>
      </c>
      <c r="U811" t="s">
        <v>11070</v>
      </c>
      <c r="V811" t="s">
        <v>11071</v>
      </c>
      <c r="W811" t="s">
        <v>11072</v>
      </c>
      <c r="X811" t="s">
        <v>11073</v>
      </c>
      <c r="Y811" t="s">
        <v>11074</v>
      </c>
      <c r="Z811" t="s">
        <v>74</v>
      </c>
      <c r="AA811" t="s">
        <v>11075</v>
      </c>
      <c r="AB811" t="s">
        <v>11076</v>
      </c>
      <c r="AC811" t="s">
        <v>74</v>
      </c>
      <c r="AD811" t="s">
        <v>74</v>
      </c>
      <c r="AE811" t="s">
        <v>74</v>
      </c>
      <c r="AF811" t="s">
        <v>74</v>
      </c>
      <c r="AG811">
        <v>65</v>
      </c>
      <c r="AH811">
        <v>36</v>
      </c>
      <c r="AI811">
        <v>37</v>
      </c>
      <c r="AJ811">
        <v>0</v>
      </c>
      <c r="AK811">
        <v>12</v>
      </c>
      <c r="AL811" t="s">
        <v>1013</v>
      </c>
      <c r="AM811" t="s">
        <v>895</v>
      </c>
      <c r="AN811" t="s">
        <v>1014</v>
      </c>
      <c r="AO811" t="s">
        <v>11077</v>
      </c>
      <c r="AP811" t="s">
        <v>74</v>
      </c>
      <c r="AQ811" t="s">
        <v>74</v>
      </c>
      <c r="AR811" t="s">
        <v>11078</v>
      </c>
      <c r="AS811" t="s">
        <v>11079</v>
      </c>
      <c r="AT811" t="s">
        <v>74</v>
      </c>
      <c r="AU811">
        <v>2002</v>
      </c>
      <c r="AV811">
        <v>33</v>
      </c>
      <c r="AW811">
        <v>8</v>
      </c>
      <c r="AX811" t="s">
        <v>74</v>
      </c>
      <c r="AY811" t="s">
        <v>74</v>
      </c>
      <c r="AZ811" t="s">
        <v>74</v>
      </c>
      <c r="BA811" t="s">
        <v>74</v>
      </c>
      <c r="BB811">
        <v>985</v>
      </c>
      <c r="BC811">
        <v>1000</v>
      </c>
      <c r="BD811" t="s">
        <v>11080</v>
      </c>
      <c r="BE811" t="s">
        <v>11081</v>
      </c>
      <c r="BF811" t="str">
        <f>HYPERLINK("http://dx.doi.org/10.1016/S0146-6380(02)00057-8","http://dx.doi.org/10.1016/S0146-6380(02)00057-8")</f>
        <v>http://dx.doi.org/10.1016/S0146-6380(02)00057-8</v>
      </c>
      <c r="BG811" t="s">
        <v>74</v>
      </c>
      <c r="BH811" t="s">
        <v>74</v>
      </c>
      <c r="BI811">
        <v>16</v>
      </c>
      <c r="BJ811" t="s">
        <v>556</v>
      </c>
      <c r="BK811" t="s">
        <v>170</v>
      </c>
      <c r="BL811" t="s">
        <v>556</v>
      </c>
      <c r="BM811" t="s">
        <v>11082</v>
      </c>
      <c r="BN811" t="s">
        <v>74</v>
      </c>
      <c r="BO811" t="s">
        <v>74</v>
      </c>
      <c r="BP811" t="s">
        <v>74</v>
      </c>
      <c r="BQ811" t="s">
        <v>74</v>
      </c>
      <c r="BR811" t="s">
        <v>107</v>
      </c>
      <c r="BS811" t="s">
        <v>11083</v>
      </c>
      <c r="BT811" t="str">
        <f>HYPERLINK("https%3A%2F%2Fwww.webofscience.com%2Fwos%2Fwoscc%2Ffull-record%2FWOS:000177883600010","View Full Record in Web of Science")</f>
        <v>View Full Record in Web of Science</v>
      </c>
    </row>
    <row r="812" spans="1:72" x14ac:dyDescent="0.15">
      <c r="A812" t="s">
        <v>72</v>
      </c>
      <c r="B812" t="s">
        <v>11084</v>
      </c>
      <c r="C812" t="s">
        <v>74</v>
      </c>
      <c r="D812" t="s">
        <v>74</v>
      </c>
      <c r="E812" t="s">
        <v>74</v>
      </c>
      <c r="F812" t="s">
        <v>11084</v>
      </c>
      <c r="G812" t="s">
        <v>74</v>
      </c>
      <c r="H812" t="s">
        <v>74</v>
      </c>
      <c r="I812" t="s">
        <v>11085</v>
      </c>
      <c r="J812" t="s">
        <v>11069</v>
      </c>
      <c r="K812" t="s">
        <v>74</v>
      </c>
      <c r="L812" t="s">
        <v>74</v>
      </c>
      <c r="M812" t="s">
        <v>77</v>
      </c>
      <c r="N812" t="s">
        <v>78</v>
      </c>
      <c r="O812" t="s">
        <v>11086</v>
      </c>
      <c r="P812" t="s">
        <v>11087</v>
      </c>
      <c r="Q812" t="s">
        <v>11088</v>
      </c>
      <c r="R812" t="s">
        <v>74</v>
      </c>
      <c r="S812" t="s">
        <v>74</v>
      </c>
      <c r="T812" t="s">
        <v>74</v>
      </c>
      <c r="U812" t="s">
        <v>11089</v>
      </c>
      <c r="V812" t="s">
        <v>11090</v>
      </c>
      <c r="W812" t="s">
        <v>11091</v>
      </c>
      <c r="X812" t="s">
        <v>11092</v>
      </c>
      <c r="Y812" t="s">
        <v>11093</v>
      </c>
      <c r="Z812" t="s">
        <v>74</v>
      </c>
      <c r="AA812" t="s">
        <v>74</v>
      </c>
      <c r="AB812" t="s">
        <v>11094</v>
      </c>
      <c r="AC812" t="s">
        <v>74</v>
      </c>
      <c r="AD812" t="s">
        <v>74</v>
      </c>
      <c r="AE812" t="s">
        <v>74</v>
      </c>
      <c r="AF812" t="s">
        <v>74</v>
      </c>
      <c r="AG812">
        <v>31</v>
      </c>
      <c r="AH812">
        <v>64</v>
      </c>
      <c r="AI812">
        <v>73</v>
      </c>
      <c r="AJ812">
        <v>0</v>
      </c>
      <c r="AK812">
        <v>27</v>
      </c>
      <c r="AL812" t="s">
        <v>1013</v>
      </c>
      <c r="AM812" t="s">
        <v>895</v>
      </c>
      <c r="AN812" t="s">
        <v>1014</v>
      </c>
      <c r="AO812" t="s">
        <v>11077</v>
      </c>
      <c r="AP812" t="s">
        <v>74</v>
      </c>
      <c r="AQ812" t="s">
        <v>74</v>
      </c>
      <c r="AR812" t="s">
        <v>11078</v>
      </c>
      <c r="AS812" t="s">
        <v>11079</v>
      </c>
      <c r="AT812" t="s">
        <v>74</v>
      </c>
      <c r="AU812">
        <v>2002</v>
      </c>
      <c r="AV812">
        <v>33</v>
      </c>
      <c r="AW812">
        <v>12</v>
      </c>
      <c r="AX812" t="s">
        <v>74</v>
      </c>
      <c r="AY812" t="s">
        <v>74</v>
      </c>
      <c r="AZ812" t="s">
        <v>74</v>
      </c>
      <c r="BA812" t="s">
        <v>74</v>
      </c>
      <c r="BB812">
        <v>1655</v>
      </c>
      <c r="BC812">
        <v>1665</v>
      </c>
      <c r="BD812" t="s">
        <v>11095</v>
      </c>
      <c r="BE812" t="s">
        <v>11096</v>
      </c>
      <c r="BF812" t="str">
        <f>HYPERLINK("http://dx.doi.org/10.1016/S0146-6380(02)00177-8","http://dx.doi.org/10.1016/S0146-6380(02)00177-8")</f>
        <v>http://dx.doi.org/10.1016/S0146-6380(02)00177-8</v>
      </c>
      <c r="BG812" t="s">
        <v>74</v>
      </c>
      <c r="BH812" t="s">
        <v>74</v>
      </c>
      <c r="BI812">
        <v>11</v>
      </c>
      <c r="BJ812" t="s">
        <v>556</v>
      </c>
      <c r="BK812" t="s">
        <v>744</v>
      </c>
      <c r="BL812" t="s">
        <v>556</v>
      </c>
      <c r="BM812" t="s">
        <v>11097</v>
      </c>
      <c r="BN812" t="s">
        <v>74</v>
      </c>
      <c r="BO812" t="s">
        <v>74</v>
      </c>
      <c r="BP812" t="s">
        <v>74</v>
      </c>
      <c r="BQ812" t="s">
        <v>74</v>
      </c>
      <c r="BR812" t="s">
        <v>107</v>
      </c>
      <c r="BS812" t="s">
        <v>11098</v>
      </c>
      <c r="BT812" t="str">
        <f>HYPERLINK("https%3A%2F%2Fwww.webofscience.com%2Fwos%2Fwoscc%2Ffull-record%2FWOS:000179970300026","View Full Record in Web of Science")</f>
        <v>View Full Record in Web of Science</v>
      </c>
    </row>
    <row r="813" spans="1:72" x14ac:dyDescent="0.15">
      <c r="A813" t="s">
        <v>72</v>
      </c>
      <c r="B813" t="s">
        <v>11099</v>
      </c>
      <c r="C813" t="s">
        <v>74</v>
      </c>
      <c r="D813" t="s">
        <v>74</v>
      </c>
      <c r="E813" t="s">
        <v>74</v>
      </c>
      <c r="F813" t="s">
        <v>11099</v>
      </c>
      <c r="G813" t="s">
        <v>74</v>
      </c>
      <c r="H813" t="s">
        <v>74</v>
      </c>
      <c r="I813" t="s">
        <v>11100</v>
      </c>
      <c r="J813" t="s">
        <v>11069</v>
      </c>
      <c r="K813" t="s">
        <v>74</v>
      </c>
      <c r="L813" t="s">
        <v>74</v>
      </c>
      <c r="M813" t="s">
        <v>77</v>
      </c>
      <c r="N813" t="s">
        <v>78</v>
      </c>
      <c r="O813" t="s">
        <v>11086</v>
      </c>
      <c r="P813" t="s">
        <v>11087</v>
      </c>
      <c r="Q813" t="s">
        <v>11088</v>
      </c>
      <c r="R813" t="s">
        <v>74</v>
      </c>
      <c r="S813" t="s">
        <v>74</v>
      </c>
      <c r="T813" t="s">
        <v>74</v>
      </c>
      <c r="U813" t="s">
        <v>11101</v>
      </c>
      <c r="V813" t="s">
        <v>11102</v>
      </c>
      <c r="W813" t="s">
        <v>11103</v>
      </c>
      <c r="X813" t="s">
        <v>11092</v>
      </c>
      <c r="Y813" t="s">
        <v>11104</v>
      </c>
      <c r="Z813" t="s">
        <v>74</v>
      </c>
      <c r="AA813" t="s">
        <v>74</v>
      </c>
      <c r="AB813" t="s">
        <v>11094</v>
      </c>
      <c r="AC813" t="s">
        <v>74</v>
      </c>
      <c r="AD813" t="s">
        <v>74</v>
      </c>
      <c r="AE813" t="s">
        <v>74</v>
      </c>
      <c r="AF813" t="s">
        <v>74</v>
      </c>
      <c r="AG813">
        <v>24</v>
      </c>
      <c r="AH813">
        <v>25</v>
      </c>
      <c r="AI813">
        <v>27</v>
      </c>
      <c r="AJ813">
        <v>0</v>
      </c>
      <c r="AK813">
        <v>6</v>
      </c>
      <c r="AL813" t="s">
        <v>1013</v>
      </c>
      <c r="AM813" t="s">
        <v>895</v>
      </c>
      <c r="AN813" t="s">
        <v>1014</v>
      </c>
      <c r="AO813" t="s">
        <v>11077</v>
      </c>
      <c r="AP813" t="s">
        <v>74</v>
      </c>
      <c r="AQ813" t="s">
        <v>74</v>
      </c>
      <c r="AR813" t="s">
        <v>11078</v>
      </c>
      <c r="AS813" t="s">
        <v>11079</v>
      </c>
      <c r="AT813" t="s">
        <v>74</v>
      </c>
      <c r="AU813">
        <v>2002</v>
      </c>
      <c r="AV813">
        <v>33</v>
      </c>
      <c r="AW813">
        <v>12</v>
      </c>
      <c r="AX813" t="s">
        <v>74</v>
      </c>
      <c r="AY813" t="s">
        <v>74</v>
      </c>
      <c r="AZ813" t="s">
        <v>74</v>
      </c>
      <c r="BA813" t="s">
        <v>74</v>
      </c>
      <c r="BB813">
        <v>1667</v>
      </c>
      <c r="BC813">
        <v>1674</v>
      </c>
      <c r="BD813" t="s">
        <v>11105</v>
      </c>
      <c r="BE813" t="s">
        <v>74</v>
      </c>
      <c r="BF813" t="s">
        <v>74</v>
      </c>
      <c r="BG813" t="s">
        <v>74</v>
      </c>
      <c r="BH813" t="s">
        <v>74</v>
      </c>
      <c r="BI813">
        <v>8</v>
      </c>
      <c r="BJ813" t="s">
        <v>556</v>
      </c>
      <c r="BK813" t="s">
        <v>744</v>
      </c>
      <c r="BL813" t="s">
        <v>556</v>
      </c>
      <c r="BM813" t="s">
        <v>11097</v>
      </c>
      <c r="BN813" t="s">
        <v>74</v>
      </c>
      <c r="BO813" t="s">
        <v>74</v>
      </c>
      <c r="BP813" t="s">
        <v>74</v>
      </c>
      <c r="BQ813" t="s">
        <v>74</v>
      </c>
      <c r="BR813" t="s">
        <v>107</v>
      </c>
      <c r="BS813" t="s">
        <v>11106</v>
      </c>
      <c r="BT813" t="str">
        <f>HYPERLINK("https%3A%2F%2Fwww.webofscience.com%2Fwos%2Fwoscc%2Ffull-record%2FWOS:000179970300027","View Full Record in Web of Science")</f>
        <v>View Full Record in Web of Science</v>
      </c>
    </row>
    <row r="814" spans="1:72" x14ac:dyDescent="0.15">
      <c r="A814" t="s">
        <v>6989</v>
      </c>
      <c r="B814" t="s">
        <v>11107</v>
      </c>
      <c r="C814" t="s">
        <v>74</v>
      </c>
      <c r="D814" t="s">
        <v>11108</v>
      </c>
      <c r="E814" t="s">
        <v>74</v>
      </c>
      <c r="F814" t="s">
        <v>11107</v>
      </c>
      <c r="G814" t="s">
        <v>74</v>
      </c>
      <c r="H814" t="s">
        <v>74</v>
      </c>
      <c r="I814" t="s">
        <v>11109</v>
      </c>
      <c r="J814" t="s">
        <v>11110</v>
      </c>
      <c r="K814" t="s">
        <v>9360</v>
      </c>
      <c r="L814" t="s">
        <v>74</v>
      </c>
      <c r="M814" t="s">
        <v>77</v>
      </c>
      <c r="N814" t="s">
        <v>6994</v>
      </c>
      <c r="O814" t="s">
        <v>11111</v>
      </c>
      <c r="P814" t="s">
        <v>11112</v>
      </c>
      <c r="Q814" t="s">
        <v>11113</v>
      </c>
      <c r="R814" t="s">
        <v>74</v>
      </c>
      <c r="S814" t="s">
        <v>74</v>
      </c>
      <c r="T814" t="s">
        <v>74</v>
      </c>
      <c r="U814" t="s">
        <v>11114</v>
      </c>
      <c r="V814" t="s">
        <v>11115</v>
      </c>
      <c r="W814" t="s">
        <v>851</v>
      </c>
      <c r="X814" t="s">
        <v>852</v>
      </c>
      <c r="Y814" t="s">
        <v>268</v>
      </c>
      <c r="Z814" t="s">
        <v>11116</v>
      </c>
      <c r="AA814" t="s">
        <v>2499</v>
      </c>
      <c r="AB814" t="s">
        <v>2500</v>
      </c>
      <c r="AC814" t="s">
        <v>11117</v>
      </c>
      <c r="AD814" t="s">
        <v>5940</v>
      </c>
      <c r="AE814" t="s">
        <v>74</v>
      </c>
      <c r="AF814" t="s">
        <v>74</v>
      </c>
      <c r="AG814">
        <v>85</v>
      </c>
      <c r="AH814">
        <v>44</v>
      </c>
      <c r="AI814">
        <v>46</v>
      </c>
      <c r="AJ814">
        <v>0</v>
      </c>
      <c r="AK814">
        <v>11</v>
      </c>
      <c r="AL814" t="s">
        <v>9370</v>
      </c>
      <c r="AM814" t="s">
        <v>2867</v>
      </c>
      <c r="AN814" t="s">
        <v>9371</v>
      </c>
      <c r="AO814" t="s">
        <v>9372</v>
      </c>
      <c r="AP814" t="s">
        <v>74</v>
      </c>
      <c r="AQ814" t="s">
        <v>11118</v>
      </c>
      <c r="AR814" t="s">
        <v>9374</v>
      </c>
      <c r="AS814" t="s">
        <v>9375</v>
      </c>
      <c r="AT814" t="s">
        <v>74</v>
      </c>
      <c r="AU814">
        <v>2002</v>
      </c>
      <c r="AV814">
        <v>194</v>
      </c>
      <c r="AW814" t="s">
        <v>74</v>
      </c>
      <c r="AX814" t="s">
        <v>74</v>
      </c>
      <c r="AY814" t="s">
        <v>74</v>
      </c>
      <c r="AZ814" t="s">
        <v>74</v>
      </c>
      <c r="BA814" t="s">
        <v>74</v>
      </c>
      <c r="BB814">
        <v>141</v>
      </c>
      <c r="BC814">
        <v>152</v>
      </c>
      <c r="BD814" t="s">
        <v>74</v>
      </c>
      <c r="BE814" t="s">
        <v>11119</v>
      </c>
      <c r="BF814" t="str">
        <f>HYPERLINK("http://dx.doi.org/10.1144/GSL.SP.2002.194.01.11","http://dx.doi.org/10.1144/GSL.SP.2002.194.01.11")</f>
        <v>http://dx.doi.org/10.1144/GSL.SP.2002.194.01.11</v>
      </c>
      <c r="BG814" t="s">
        <v>74</v>
      </c>
      <c r="BH814" t="s">
        <v>74</v>
      </c>
      <c r="BI814">
        <v>12</v>
      </c>
      <c r="BJ814" t="s">
        <v>11120</v>
      </c>
      <c r="BK814" t="s">
        <v>7004</v>
      </c>
      <c r="BL814" t="s">
        <v>11120</v>
      </c>
      <c r="BM814" t="s">
        <v>11121</v>
      </c>
      <c r="BN814" t="s">
        <v>74</v>
      </c>
      <c r="BO814" t="s">
        <v>74</v>
      </c>
      <c r="BP814" t="s">
        <v>74</v>
      </c>
      <c r="BQ814" t="s">
        <v>74</v>
      </c>
      <c r="BR814" t="s">
        <v>107</v>
      </c>
      <c r="BS814" t="s">
        <v>11122</v>
      </c>
      <c r="BT814" t="str">
        <f>HYPERLINK("https%3A%2F%2Fwww.webofscience.com%2Fwos%2Fwoscc%2Ffull-record%2FWOS:000178304600011","View Full Record in Web of Science")</f>
        <v>View Full Record in Web of Science</v>
      </c>
    </row>
    <row r="815" spans="1:72" x14ac:dyDescent="0.15">
      <c r="A815" t="s">
        <v>6989</v>
      </c>
      <c r="B815" t="s">
        <v>11123</v>
      </c>
      <c r="C815" t="s">
        <v>74</v>
      </c>
      <c r="D815" t="s">
        <v>11108</v>
      </c>
      <c r="E815" t="s">
        <v>74</v>
      </c>
      <c r="F815" t="s">
        <v>11123</v>
      </c>
      <c r="G815" t="s">
        <v>74</v>
      </c>
      <c r="H815" t="s">
        <v>74</v>
      </c>
      <c r="I815" t="s">
        <v>11124</v>
      </c>
      <c r="J815" t="s">
        <v>11110</v>
      </c>
      <c r="K815" t="s">
        <v>9360</v>
      </c>
      <c r="L815" t="s">
        <v>74</v>
      </c>
      <c r="M815" t="s">
        <v>77</v>
      </c>
      <c r="N815" t="s">
        <v>6994</v>
      </c>
      <c r="O815" t="s">
        <v>11111</v>
      </c>
      <c r="P815" t="s">
        <v>11112</v>
      </c>
      <c r="Q815" t="s">
        <v>11113</v>
      </c>
      <c r="R815" t="s">
        <v>74</v>
      </c>
      <c r="S815" t="s">
        <v>74</v>
      </c>
      <c r="T815" t="s">
        <v>74</v>
      </c>
      <c r="U815" t="s">
        <v>11125</v>
      </c>
      <c r="V815" t="s">
        <v>11126</v>
      </c>
      <c r="W815" t="s">
        <v>2466</v>
      </c>
      <c r="X815" t="s">
        <v>852</v>
      </c>
      <c r="Y815" t="s">
        <v>300</v>
      </c>
      <c r="Z815" t="s">
        <v>11127</v>
      </c>
      <c r="AA815" t="s">
        <v>74</v>
      </c>
      <c r="AB815" t="s">
        <v>74</v>
      </c>
      <c r="AC815" t="s">
        <v>11117</v>
      </c>
      <c r="AD815" t="s">
        <v>5940</v>
      </c>
      <c r="AE815" t="s">
        <v>74</v>
      </c>
      <c r="AF815" t="s">
        <v>74</v>
      </c>
      <c r="AG815">
        <v>99</v>
      </c>
      <c r="AH815">
        <v>40</v>
      </c>
      <c r="AI815">
        <v>45</v>
      </c>
      <c r="AJ815">
        <v>1</v>
      </c>
      <c r="AK815">
        <v>14</v>
      </c>
      <c r="AL815" t="s">
        <v>9370</v>
      </c>
      <c r="AM815" t="s">
        <v>2867</v>
      </c>
      <c r="AN815" t="s">
        <v>9371</v>
      </c>
      <c r="AO815" t="s">
        <v>9372</v>
      </c>
      <c r="AP815" t="s">
        <v>74</v>
      </c>
      <c r="AQ815" t="s">
        <v>11118</v>
      </c>
      <c r="AR815" t="s">
        <v>9374</v>
      </c>
      <c r="AS815" t="s">
        <v>9375</v>
      </c>
      <c r="AT815" t="s">
        <v>74</v>
      </c>
      <c r="AU815">
        <v>2002</v>
      </c>
      <c r="AV815">
        <v>194</v>
      </c>
      <c r="AW815" t="s">
        <v>74</v>
      </c>
      <c r="AX815" t="s">
        <v>74</v>
      </c>
      <c r="AY815" t="s">
        <v>74</v>
      </c>
      <c r="AZ815" t="s">
        <v>74</v>
      </c>
      <c r="BA815" t="s">
        <v>74</v>
      </c>
      <c r="BB815">
        <v>153</v>
      </c>
      <c r="BC815">
        <v>168</v>
      </c>
      <c r="BD815" t="s">
        <v>74</v>
      </c>
      <c r="BE815" t="s">
        <v>11128</v>
      </c>
      <c r="BF815" t="str">
        <f>HYPERLINK("http://dx.doi.org/10.1144/GSL.SP.2002.194.01.12","http://dx.doi.org/10.1144/GSL.SP.2002.194.01.12")</f>
        <v>http://dx.doi.org/10.1144/GSL.SP.2002.194.01.12</v>
      </c>
      <c r="BG815" t="s">
        <v>74</v>
      </c>
      <c r="BH815" t="s">
        <v>74</v>
      </c>
      <c r="BI815">
        <v>16</v>
      </c>
      <c r="BJ815" t="s">
        <v>11120</v>
      </c>
      <c r="BK815" t="s">
        <v>7004</v>
      </c>
      <c r="BL815" t="s">
        <v>11120</v>
      </c>
      <c r="BM815" t="s">
        <v>11121</v>
      </c>
      <c r="BN815" t="s">
        <v>74</v>
      </c>
      <c r="BO815" t="s">
        <v>74</v>
      </c>
      <c r="BP815" t="s">
        <v>74</v>
      </c>
      <c r="BQ815" t="s">
        <v>74</v>
      </c>
      <c r="BR815" t="s">
        <v>107</v>
      </c>
      <c r="BS815" t="s">
        <v>11129</v>
      </c>
      <c r="BT815" t="str">
        <f>HYPERLINK("https%3A%2F%2Fwww.webofscience.com%2Fwos%2Fwoscc%2Ffull-record%2FWOS:000178304600012","View Full Record in Web of Science")</f>
        <v>View Full Record in Web of Science</v>
      </c>
    </row>
    <row r="816" spans="1:72" x14ac:dyDescent="0.15">
      <c r="A816" t="s">
        <v>6989</v>
      </c>
      <c r="B816" t="s">
        <v>11130</v>
      </c>
      <c r="C816" t="s">
        <v>74</v>
      </c>
      <c r="D816" t="s">
        <v>11131</v>
      </c>
      <c r="E816" t="s">
        <v>74</v>
      </c>
      <c r="F816" t="s">
        <v>11130</v>
      </c>
      <c r="G816" t="s">
        <v>74</v>
      </c>
      <c r="H816" t="s">
        <v>74</v>
      </c>
      <c r="I816" t="s">
        <v>11132</v>
      </c>
      <c r="J816" t="s">
        <v>11133</v>
      </c>
      <c r="K816" t="s">
        <v>11134</v>
      </c>
      <c r="L816" t="s">
        <v>74</v>
      </c>
      <c r="M816" t="s">
        <v>77</v>
      </c>
      <c r="N816" t="s">
        <v>6994</v>
      </c>
      <c r="O816" t="s">
        <v>11135</v>
      </c>
      <c r="P816" t="s">
        <v>11136</v>
      </c>
      <c r="Q816" t="s">
        <v>11137</v>
      </c>
      <c r="R816" t="s">
        <v>74</v>
      </c>
      <c r="S816" t="s">
        <v>74</v>
      </c>
      <c r="T816" t="s">
        <v>74</v>
      </c>
      <c r="U816" t="s">
        <v>11138</v>
      </c>
      <c r="V816" t="s">
        <v>11139</v>
      </c>
      <c r="W816" t="s">
        <v>11140</v>
      </c>
      <c r="X816" t="s">
        <v>3418</v>
      </c>
      <c r="Y816" t="s">
        <v>11141</v>
      </c>
      <c r="Z816" t="s">
        <v>74</v>
      </c>
      <c r="AA816" t="s">
        <v>11142</v>
      </c>
      <c r="AB816" t="s">
        <v>74</v>
      </c>
      <c r="AC816" t="s">
        <v>74</v>
      </c>
      <c r="AD816" t="s">
        <v>74</v>
      </c>
      <c r="AE816" t="s">
        <v>74</v>
      </c>
      <c r="AF816" t="s">
        <v>74</v>
      </c>
      <c r="AG816">
        <v>16</v>
      </c>
      <c r="AH816">
        <v>12</v>
      </c>
      <c r="AI816">
        <v>13</v>
      </c>
      <c r="AJ816">
        <v>1</v>
      </c>
      <c r="AK816">
        <v>7</v>
      </c>
      <c r="AL816" t="s">
        <v>11143</v>
      </c>
      <c r="AM816" t="s">
        <v>195</v>
      </c>
      <c r="AN816" t="s">
        <v>196</v>
      </c>
      <c r="AO816" t="s">
        <v>74</v>
      </c>
      <c r="AP816" t="s">
        <v>74</v>
      </c>
      <c r="AQ816" t="s">
        <v>11144</v>
      </c>
      <c r="AR816" t="s">
        <v>11145</v>
      </c>
      <c r="AS816" t="s">
        <v>74</v>
      </c>
      <c r="AT816" t="s">
        <v>74</v>
      </c>
      <c r="AU816">
        <v>2002</v>
      </c>
      <c r="AV816" t="s">
        <v>74</v>
      </c>
      <c r="AW816" t="s">
        <v>74</v>
      </c>
      <c r="AX816" t="s">
        <v>74</v>
      </c>
      <c r="AY816" t="s">
        <v>74</v>
      </c>
      <c r="AZ816" t="s">
        <v>74</v>
      </c>
      <c r="BA816" t="s">
        <v>74</v>
      </c>
      <c r="BB816">
        <v>9</v>
      </c>
      <c r="BC816">
        <v>15</v>
      </c>
      <c r="BD816" t="s">
        <v>74</v>
      </c>
      <c r="BE816" t="s">
        <v>74</v>
      </c>
      <c r="BF816" t="s">
        <v>74</v>
      </c>
      <c r="BG816" t="s">
        <v>74</v>
      </c>
      <c r="BH816" t="s">
        <v>74</v>
      </c>
      <c r="BI816">
        <v>7</v>
      </c>
      <c r="BJ816" t="s">
        <v>2358</v>
      </c>
      <c r="BK816" t="s">
        <v>7004</v>
      </c>
      <c r="BL816" t="s">
        <v>2359</v>
      </c>
      <c r="BM816" t="s">
        <v>11146</v>
      </c>
      <c r="BN816" t="s">
        <v>74</v>
      </c>
      <c r="BO816" t="s">
        <v>74</v>
      </c>
      <c r="BP816" t="s">
        <v>74</v>
      </c>
      <c r="BQ816" t="s">
        <v>74</v>
      </c>
      <c r="BR816" t="s">
        <v>107</v>
      </c>
      <c r="BS816" t="s">
        <v>11147</v>
      </c>
      <c r="BT816" t="str">
        <f>HYPERLINK("https%3A%2F%2Fwww.webofscience.com%2Fwos%2Fwoscc%2Ffull-record%2FWOS:000181394700002","View Full Record in Web of Science")</f>
        <v>View Full Record in Web of Science</v>
      </c>
    </row>
    <row r="817" spans="1:72" x14ac:dyDescent="0.15">
      <c r="A817" t="s">
        <v>6989</v>
      </c>
      <c r="B817" t="s">
        <v>11148</v>
      </c>
      <c r="C817" t="s">
        <v>74</v>
      </c>
      <c r="D817" t="s">
        <v>11131</v>
      </c>
      <c r="E817" t="s">
        <v>74</v>
      </c>
      <c r="F817" t="s">
        <v>11148</v>
      </c>
      <c r="G817" t="s">
        <v>74</v>
      </c>
      <c r="H817" t="s">
        <v>74</v>
      </c>
      <c r="I817" t="s">
        <v>11149</v>
      </c>
      <c r="J817" t="s">
        <v>11133</v>
      </c>
      <c r="K817" t="s">
        <v>11134</v>
      </c>
      <c r="L817" t="s">
        <v>74</v>
      </c>
      <c r="M817" t="s">
        <v>77</v>
      </c>
      <c r="N817" t="s">
        <v>6994</v>
      </c>
      <c r="O817" t="s">
        <v>11135</v>
      </c>
      <c r="P817" t="s">
        <v>11136</v>
      </c>
      <c r="Q817" t="s">
        <v>11137</v>
      </c>
      <c r="R817" t="s">
        <v>74</v>
      </c>
      <c r="S817" t="s">
        <v>74</v>
      </c>
      <c r="T817" t="s">
        <v>74</v>
      </c>
      <c r="U817" t="s">
        <v>11150</v>
      </c>
      <c r="V817" t="s">
        <v>11151</v>
      </c>
      <c r="W817" t="s">
        <v>11152</v>
      </c>
      <c r="X817" t="s">
        <v>7238</v>
      </c>
      <c r="Y817" t="s">
        <v>11153</v>
      </c>
      <c r="Z817" t="s">
        <v>74</v>
      </c>
      <c r="AA817" t="s">
        <v>74</v>
      </c>
      <c r="AB817" t="s">
        <v>74</v>
      </c>
      <c r="AC817" t="s">
        <v>74</v>
      </c>
      <c r="AD817" t="s">
        <v>74</v>
      </c>
      <c r="AE817" t="s">
        <v>74</v>
      </c>
      <c r="AF817" t="s">
        <v>74</v>
      </c>
      <c r="AG817">
        <v>7</v>
      </c>
      <c r="AH817">
        <v>0</v>
      </c>
      <c r="AI817">
        <v>0</v>
      </c>
      <c r="AJ817">
        <v>0</v>
      </c>
      <c r="AK817">
        <v>0</v>
      </c>
      <c r="AL817" t="s">
        <v>11143</v>
      </c>
      <c r="AM817" t="s">
        <v>195</v>
      </c>
      <c r="AN817" t="s">
        <v>196</v>
      </c>
      <c r="AO817" t="s">
        <v>74</v>
      </c>
      <c r="AP817" t="s">
        <v>74</v>
      </c>
      <c r="AQ817" t="s">
        <v>11144</v>
      </c>
      <c r="AR817" t="s">
        <v>11145</v>
      </c>
      <c r="AS817" t="s">
        <v>74</v>
      </c>
      <c r="AT817" t="s">
        <v>74</v>
      </c>
      <c r="AU817">
        <v>2002</v>
      </c>
      <c r="AV817" t="s">
        <v>74</v>
      </c>
      <c r="AW817" t="s">
        <v>74</v>
      </c>
      <c r="AX817" t="s">
        <v>74</v>
      </c>
      <c r="AY817" t="s">
        <v>74</v>
      </c>
      <c r="AZ817" t="s">
        <v>74</v>
      </c>
      <c r="BA817" t="s">
        <v>74</v>
      </c>
      <c r="BB817">
        <v>139</v>
      </c>
      <c r="BC817">
        <v>147</v>
      </c>
      <c r="BD817" t="s">
        <v>74</v>
      </c>
      <c r="BE817" t="s">
        <v>74</v>
      </c>
      <c r="BF817" t="s">
        <v>74</v>
      </c>
      <c r="BG817" t="s">
        <v>74</v>
      </c>
      <c r="BH817" t="s">
        <v>74</v>
      </c>
      <c r="BI817">
        <v>9</v>
      </c>
      <c r="BJ817" t="s">
        <v>2358</v>
      </c>
      <c r="BK817" t="s">
        <v>7004</v>
      </c>
      <c r="BL817" t="s">
        <v>2359</v>
      </c>
      <c r="BM817" t="s">
        <v>11146</v>
      </c>
      <c r="BN817" t="s">
        <v>74</v>
      </c>
      <c r="BO817" t="s">
        <v>74</v>
      </c>
      <c r="BP817" t="s">
        <v>74</v>
      </c>
      <c r="BQ817" t="s">
        <v>74</v>
      </c>
      <c r="BR817" t="s">
        <v>107</v>
      </c>
      <c r="BS817" t="s">
        <v>11154</v>
      </c>
      <c r="BT817" t="str">
        <f>HYPERLINK("https%3A%2F%2Fwww.webofscience.com%2Fwos%2Fwoscc%2Ffull-record%2FWOS:000181394700013","View Full Record in Web of Science")</f>
        <v>View Full Record in Web of Science</v>
      </c>
    </row>
    <row r="818" spans="1:72" x14ac:dyDescent="0.15">
      <c r="A818" t="s">
        <v>6989</v>
      </c>
      <c r="B818" t="s">
        <v>11155</v>
      </c>
      <c r="C818" t="s">
        <v>74</v>
      </c>
      <c r="D818" t="s">
        <v>11131</v>
      </c>
      <c r="E818" t="s">
        <v>74</v>
      </c>
      <c r="F818" t="s">
        <v>11155</v>
      </c>
      <c r="G818" t="s">
        <v>74</v>
      </c>
      <c r="H818" t="s">
        <v>74</v>
      </c>
      <c r="I818" t="s">
        <v>11156</v>
      </c>
      <c r="J818" t="s">
        <v>11133</v>
      </c>
      <c r="K818" t="s">
        <v>11134</v>
      </c>
      <c r="L818" t="s">
        <v>74</v>
      </c>
      <c r="M818" t="s">
        <v>77</v>
      </c>
      <c r="N818" t="s">
        <v>6994</v>
      </c>
      <c r="O818" t="s">
        <v>11135</v>
      </c>
      <c r="P818" t="s">
        <v>11136</v>
      </c>
      <c r="Q818" t="s">
        <v>11137</v>
      </c>
      <c r="R818" t="s">
        <v>74</v>
      </c>
      <c r="S818" t="s">
        <v>74</v>
      </c>
      <c r="T818" t="s">
        <v>74</v>
      </c>
      <c r="U818" t="s">
        <v>74</v>
      </c>
      <c r="V818" t="s">
        <v>11157</v>
      </c>
      <c r="W818" t="s">
        <v>11158</v>
      </c>
      <c r="X818" t="s">
        <v>2267</v>
      </c>
      <c r="Y818" t="s">
        <v>11159</v>
      </c>
      <c r="Z818" t="s">
        <v>74</v>
      </c>
      <c r="AA818" t="s">
        <v>74</v>
      </c>
      <c r="AB818" t="s">
        <v>74</v>
      </c>
      <c r="AC818" t="s">
        <v>74</v>
      </c>
      <c r="AD818" t="s">
        <v>74</v>
      </c>
      <c r="AE818" t="s">
        <v>74</v>
      </c>
      <c r="AF818" t="s">
        <v>74</v>
      </c>
      <c r="AG818">
        <v>8</v>
      </c>
      <c r="AH818">
        <v>0</v>
      </c>
      <c r="AI818">
        <v>0</v>
      </c>
      <c r="AJ818">
        <v>0</v>
      </c>
      <c r="AK818">
        <v>0</v>
      </c>
      <c r="AL818" t="s">
        <v>11143</v>
      </c>
      <c r="AM818" t="s">
        <v>195</v>
      </c>
      <c r="AN818" t="s">
        <v>196</v>
      </c>
      <c r="AO818" t="s">
        <v>74</v>
      </c>
      <c r="AP818" t="s">
        <v>74</v>
      </c>
      <c r="AQ818" t="s">
        <v>11144</v>
      </c>
      <c r="AR818" t="s">
        <v>11145</v>
      </c>
      <c r="AS818" t="s">
        <v>74</v>
      </c>
      <c r="AT818" t="s">
        <v>74</v>
      </c>
      <c r="AU818">
        <v>2002</v>
      </c>
      <c r="AV818" t="s">
        <v>74</v>
      </c>
      <c r="AW818" t="s">
        <v>74</v>
      </c>
      <c r="AX818" t="s">
        <v>74</v>
      </c>
      <c r="AY818" t="s">
        <v>74</v>
      </c>
      <c r="AZ818" t="s">
        <v>74</v>
      </c>
      <c r="BA818" t="s">
        <v>74</v>
      </c>
      <c r="BB818">
        <v>177</v>
      </c>
      <c r="BC818">
        <v>187</v>
      </c>
      <c r="BD818" t="s">
        <v>74</v>
      </c>
      <c r="BE818" t="s">
        <v>74</v>
      </c>
      <c r="BF818" t="s">
        <v>74</v>
      </c>
      <c r="BG818" t="s">
        <v>74</v>
      </c>
      <c r="BH818" t="s">
        <v>74</v>
      </c>
      <c r="BI818">
        <v>11</v>
      </c>
      <c r="BJ818" t="s">
        <v>2358</v>
      </c>
      <c r="BK818" t="s">
        <v>7004</v>
      </c>
      <c r="BL818" t="s">
        <v>2359</v>
      </c>
      <c r="BM818" t="s">
        <v>11146</v>
      </c>
      <c r="BN818" t="s">
        <v>74</v>
      </c>
      <c r="BO818" t="s">
        <v>74</v>
      </c>
      <c r="BP818" t="s">
        <v>74</v>
      </c>
      <c r="BQ818" t="s">
        <v>74</v>
      </c>
      <c r="BR818" t="s">
        <v>107</v>
      </c>
      <c r="BS818" t="s">
        <v>11160</v>
      </c>
      <c r="BT818" t="str">
        <f>HYPERLINK("https%3A%2F%2Fwww.webofscience.com%2Fwos%2Fwoscc%2Ffull-record%2FWOS:000181394700017","View Full Record in Web of Science")</f>
        <v>View Full Record in Web of Science</v>
      </c>
    </row>
    <row r="819" spans="1:72" x14ac:dyDescent="0.15">
      <c r="A819" t="s">
        <v>72</v>
      </c>
      <c r="B819" t="s">
        <v>11161</v>
      </c>
      <c r="C819" t="s">
        <v>74</v>
      </c>
      <c r="D819" t="s">
        <v>74</v>
      </c>
      <c r="E819" t="s">
        <v>74</v>
      </c>
      <c r="F819" t="s">
        <v>11161</v>
      </c>
      <c r="G819" t="s">
        <v>74</v>
      </c>
      <c r="H819" t="s">
        <v>74</v>
      </c>
      <c r="I819" t="s">
        <v>11162</v>
      </c>
      <c r="J819" t="s">
        <v>11163</v>
      </c>
      <c r="K819" t="s">
        <v>74</v>
      </c>
      <c r="L819" t="s">
        <v>74</v>
      </c>
      <c r="M819" t="s">
        <v>77</v>
      </c>
      <c r="N819" t="s">
        <v>153</v>
      </c>
      <c r="O819" t="s">
        <v>74</v>
      </c>
      <c r="P819" t="s">
        <v>74</v>
      </c>
      <c r="Q819" t="s">
        <v>74</v>
      </c>
      <c r="R819" t="s">
        <v>74</v>
      </c>
      <c r="S819" t="s">
        <v>74</v>
      </c>
      <c r="T819" t="s">
        <v>11164</v>
      </c>
      <c r="U819" t="s">
        <v>11165</v>
      </c>
      <c r="V819" t="s">
        <v>11166</v>
      </c>
      <c r="W819" t="s">
        <v>11167</v>
      </c>
      <c r="X819" t="s">
        <v>11168</v>
      </c>
      <c r="Y819" t="s">
        <v>11169</v>
      </c>
      <c r="Z819" t="s">
        <v>74</v>
      </c>
      <c r="AA819" t="s">
        <v>11170</v>
      </c>
      <c r="AB819" t="s">
        <v>11171</v>
      </c>
      <c r="AC819" t="s">
        <v>74</v>
      </c>
      <c r="AD819" t="s">
        <v>74</v>
      </c>
      <c r="AE819" t="s">
        <v>74</v>
      </c>
      <c r="AF819" t="s">
        <v>74</v>
      </c>
      <c r="AG819">
        <v>24</v>
      </c>
      <c r="AH819">
        <v>12</v>
      </c>
      <c r="AI819">
        <v>13</v>
      </c>
      <c r="AJ819">
        <v>0</v>
      </c>
      <c r="AK819">
        <v>13</v>
      </c>
      <c r="AL819" t="s">
        <v>11172</v>
      </c>
      <c r="AM819" t="s">
        <v>11173</v>
      </c>
      <c r="AN819" t="s">
        <v>11174</v>
      </c>
      <c r="AO819" t="s">
        <v>11175</v>
      </c>
      <c r="AP819" t="s">
        <v>74</v>
      </c>
      <c r="AQ819" t="s">
        <v>74</v>
      </c>
      <c r="AR819" t="s">
        <v>11163</v>
      </c>
      <c r="AS819" t="s">
        <v>11176</v>
      </c>
      <c r="AT819" t="s">
        <v>74</v>
      </c>
      <c r="AU819">
        <v>2002</v>
      </c>
      <c r="AV819">
        <v>46</v>
      </c>
      <c r="AW819">
        <v>2</v>
      </c>
      <c r="AX819" t="s">
        <v>74</v>
      </c>
      <c r="AY819" t="s">
        <v>74</v>
      </c>
      <c r="AZ819" t="s">
        <v>74</v>
      </c>
      <c r="BA819" t="s">
        <v>74</v>
      </c>
      <c r="BB819">
        <v>188</v>
      </c>
      <c r="BC819">
        <v>195</v>
      </c>
      <c r="BD819" t="s">
        <v>74</v>
      </c>
      <c r="BE819" t="s">
        <v>11177</v>
      </c>
      <c r="BF819" t="str">
        <f>HYPERLINK("http://dx.doi.org/10.1078/0031-4056-00124","http://dx.doi.org/10.1078/0031-4056-00124")</f>
        <v>http://dx.doi.org/10.1078/0031-4056-00124</v>
      </c>
      <c r="BG819" t="s">
        <v>74</v>
      </c>
      <c r="BH819" t="s">
        <v>74</v>
      </c>
      <c r="BI819">
        <v>8</v>
      </c>
      <c r="BJ819" t="s">
        <v>11178</v>
      </c>
      <c r="BK819" t="s">
        <v>170</v>
      </c>
      <c r="BL819" t="s">
        <v>11179</v>
      </c>
      <c r="BM819" t="s">
        <v>11180</v>
      </c>
      <c r="BN819" t="s">
        <v>74</v>
      </c>
      <c r="BO819" t="s">
        <v>74</v>
      </c>
      <c r="BP819" t="s">
        <v>74</v>
      </c>
      <c r="BQ819" t="s">
        <v>74</v>
      </c>
      <c r="BR819" t="s">
        <v>107</v>
      </c>
      <c r="BS819" t="s">
        <v>11181</v>
      </c>
      <c r="BT819" t="str">
        <f>HYPERLINK("https%3A%2F%2Fwww.webofscience.com%2Fwos%2Fwoscc%2Ffull-record%2FWOS:000175278600008","View Full Record in Web of Science")</f>
        <v>View Full Record in Web of Science</v>
      </c>
    </row>
    <row r="820" spans="1:72" x14ac:dyDescent="0.15">
      <c r="A820" t="s">
        <v>72</v>
      </c>
      <c r="B820" t="s">
        <v>11182</v>
      </c>
      <c r="C820" t="s">
        <v>74</v>
      </c>
      <c r="D820" t="s">
        <v>74</v>
      </c>
      <c r="E820" t="s">
        <v>74</v>
      </c>
      <c r="F820" t="s">
        <v>11182</v>
      </c>
      <c r="G820" t="s">
        <v>74</v>
      </c>
      <c r="H820" t="s">
        <v>74</v>
      </c>
      <c r="I820" t="s">
        <v>11183</v>
      </c>
      <c r="J820" t="s">
        <v>11163</v>
      </c>
      <c r="K820" t="s">
        <v>74</v>
      </c>
      <c r="L820" t="s">
        <v>74</v>
      </c>
      <c r="M820" t="s">
        <v>77</v>
      </c>
      <c r="N820" t="s">
        <v>78</v>
      </c>
      <c r="O820" t="s">
        <v>11184</v>
      </c>
      <c r="P820" t="s">
        <v>11185</v>
      </c>
      <c r="Q820" t="s">
        <v>11186</v>
      </c>
      <c r="R820" t="s">
        <v>74</v>
      </c>
      <c r="S820" t="s">
        <v>11187</v>
      </c>
      <c r="T820" t="s">
        <v>11188</v>
      </c>
      <c r="U820" t="s">
        <v>11189</v>
      </c>
      <c r="V820" t="s">
        <v>11190</v>
      </c>
      <c r="W820" t="s">
        <v>11191</v>
      </c>
      <c r="X820" t="s">
        <v>11192</v>
      </c>
      <c r="Y820" t="s">
        <v>11193</v>
      </c>
      <c r="Z820" t="s">
        <v>74</v>
      </c>
      <c r="AA820" t="s">
        <v>74</v>
      </c>
      <c r="AB820" t="s">
        <v>74</v>
      </c>
      <c r="AC820" t="s">
        <v>74</v>
      </c>
      <c r="AD820" t="s">
        <v>74</v>
      </c>
      <c r="AE820" t="s">
        <v>74</v>
      </c>
      <c r="AF820" t="s">
        <v>74</v>
      </c>
      <c r="AG820">
        <v>20</v>
      </c>
      <c r="AH820">
        <v>27</v>
      </c>
      <c r="AI820">
        <v>32</v>
      </c>
      <c r="AJ820">
        <v>0</v>
      </c>
      <c r="AK820">
        <v>16</v>
      </c>
      <c r="AL820" t="s">
        <v>11172</v>
      </c>
      <c r="AM820" t="s">
        <v>11173</v>
      </c>
      <c r="AN820" t="s">
        <v>11174</v>
      </c>
      <c r="AO820" t="s">
        <v>11175</v>
      </c>
      <c r="AP820" t="s">
        <v>74</v>
      </c>
      <c r="AQ820" t="s">
        <v>74</v>
      </c>
      <c r="AR820" t="s">
        <v>11163</v>
      </c>
      <c r="AS820" t="s">
        <v>11176</v>
      </c>
      <c r="AT820" t="s">
        <v>74</v>
      </c>
      <c r="AU820">
        <v>2002</v>
      </c>
      <c r="AV820">
        <v>46</v>
      </c>
      <c r="AW820" t="s">
        <v>436</v>
      </c>
      <c r="AX820" t="s">
        <v>74</v>
      </c>
      <c r="AY820" t="s">
        <v>74</v>
      </c>
      <c r="AZ820" t="s">
        <v>74</v>
      </c>
      <c r="BA820" t="s">
        <v>74</v>
      </c>
      <c r="BB820">
        <v>338</v>
      </c>
      <c r="BC820">
        <v>344</v>
      </c>
      <c r="BD820" t="s">
        <v>74</v>
      </c>
      <c r="BE820" t="s">
        <v>11194</v>
      </c>
      <c r="BF820" t="str">
        <f>HYPERLINK("http://dx.doi.org/10.1016/S0031-4056(04)70150-X","http://dx.doi.org/10.1016/S0031-4056(04)70150-X")</f>
        <v>http://dx.doi.org/10.1016/S0031-4056(04)70150-X</v>
      </c>
      <c r="BG820" t="s">
        <v>74</v>
      </c>
      <c r="BH820" t="s">
        <v>74</v>
      </c>
      <c r="BI820">
        <v>7</v>
      </c>
      <c r="BJ820" t="s">
        <v>11178</v>
      </c>
      <c r="BK820" t="s">
        <v>744</v>
      </c>
      <c r="BL820" t="s">
        <v>11179</v>
      </c>
      <c r="BM820" t="s">
        <v>11195</v>
      </c>
      <c r="BN820" t="s">
        <v>74</v>
      </c>
      <c r="BO820" t="s">
        <v>74</v>
      </c>
      <c r="BP820" t="s">
        <v>74</v>
      </c>
      <c r="BQ820" t="s">
        <v>74</v>
      </c>
      <c r="BR820" t="s">
        <v>107</v>
      </c>
      <c r="BS820" t="s">
        <v>11196</v>
      </c>
      <c r="BT820" t="str">
        <f>HYPERLINK("https%3A%2F%2Fwww.webofscience.com%2Fwos%2Fwoscc%2Ffull-record%2FWOS:000177010100017","View Full Record in Web of Science")</f>
        <v>View Full Record in Web of Science</v>
      </c>
    </row>
    <row r="821" spans="1:72" x14ac:dyDescent="0.15">
      <c r="A821" t="s">
        <v>72</v>
      </c>
      <c r="B821" t="s">
        <v>11197</v>
      </c>
      <c r="C821" t="s">
        <v>74</v>
      </c>
      <c r="D821" t="s">
        <v>74</v>
      </c>
      <c r="E821" t="s">
        <v>74</v>
      </c>
      <c r="F821" t="s">
        <v>11197</v>
      </c>
      <c r="G821" t="s">
        <v>74</v>
      </c>
      <c r="H821" t="s">
        <v>74</v>
      </c>
      <c r="I821" t="s">
        <v>11198</v>
      </c>
      <c r="J821" t="s">
        <v>11163</v>
      </c>
      <c r="K821" t="s">
        <v>74</v>
      </c>
      <c r="L821" t="s">
        <v>74</v>
      </c>
      <c r="M821" t="s">
        <v>77</v>
      </c>
      <c r="N821" t="s">
        <v>153</v>
      </c>
      <c r="O821" t="s">
        <v>74</v>
      </c>
      <c r="P821" t="s">
        <v>74</v>
      </c>
      <c r="Q821" t="s">
        <v>74</v>
      </c>
      <c r="R821" t="s">
        <v>74</v>
      </c>
      <c r="S821" t="s">
        <v>74</v>
      </c>
      <c r="T821" t="s">
        <v>11199</v>
      </c>
      <c r="U821" t="s">
        <v>11200</v>
      </c>
      <c r="V821" t="s">
        <v>11201</v>
      </c>
      <c r="W821" t="s">
        <v>11202</v>
      </c>
      <c r="X821" t="s">
        <v>11203</v>
      </c>
      <c r="Y821" t="s">
        <v>11204</v>
      </c>
      <c r="Z821" t="s">
        <v>74</v>
      </c>
      <c r="AA821" t="s">
        <v>11205</v>
      </c>
      <c r="AB821" t="s">
        <v>11206</v>
      </c>
      <c r="AC821" t="s">
        <v>74</v>
      </c>
      <c r="AD821" t="s">
        <v>74</v>
      </c>
      <c r="AE821" t="s">
        <v>74</v>
      </c>
      <c r="AF821" t="s">
        <v>74</v>
      </c>
      <c r="AG821">
        <v>41</v>
      </c>
      <c r="AH821">
        <v>51</v>
      </c>
      <c r="AI821">
        <v>56</v>
      </c>
      <c r="AJ821">
        <v>0</v>
      </c>
      <c r="AK821">
        <v>11</v>
      </c>
      <c r="AL821" t="s">
        <v>11172</v>
      </c>
      <c r="AM821" t="s">
        <v>11173</v>
      </c>
      <c r="AN821" t="s">
        <v>11174</v>
      </c>
      <c r="AO821" t="s">
        <v>11175</v>
      </c>
      <c r="AP821" t="s">
        <v>74</v>
      </c>
      <c r="AQ821" t="s">
        <v>74</v>
      </c>
      <c r="AR821" t="s">
        <v>11163</v>
      </c>
      <c r="AS821" t="s">
        <v>11176</v>
      </c>
      <c r="AT821" t="s">
        <v>74</v>
      </c>
      <c r="AU821">
        <v>2002</v>
      </c>
      <c r="AV821">
        <v>46</v>
      </c>
      <c r="AW821">
        <v>5</v>
      </c>
      <c r="AX821" t="s">
        <v>74</v>
      </c>
      <c r="AY821" t="s">
        <v>74</v>
      </c>
      <c r="AZ821" t="s">
        <v>74</v>
      </c>
      <c r="BA821" t="s">
        <v>74</v>
      </c>
      <c r="BB821">
        <v>485</v>
      </c>
      <c r="BC821">
        <v>495</v>
      </c>
      <c r="BD821" t="s">
        <v>74</v>
      </c>
      <c r="BE821" t="s">
        <v>11207</v>
      </c>
      <c r="BF821" t="str">
        <f>HYPERLINK("http://dx.doi.org/10.1078/0031-4056-00154","http://dx.doi.org/10.1078/0031-4056-00154")</f>
        <v>http://dx.doi.org/10.1078/0031-4056-00154</v>
      </c>
      <c r="BG821" t="s">
        <v>74</v>
      </c>
      <c r="BH821" t="s">
        <v>74</v>
      </c>
      <c r="BI821">
        <v>11</v>
      </c>
      <c r="BJ821" t="s">
        <v>11178</v>
      </c>
      <c r="BK821" t="s">
        <v>170</v>
      </c>
      <c r="BL821" t="s">
        <v>11179</v>
      </c>
      <c r="BM821" t="s">
        <v>11208</v>
      </c>
      <c r="BN821" t="s">
        <v>74</v>
      </c>
      <c r="BO821" t="s">
        <v>74</v>
      </c>
      <c r="BP821" t="s">
        <v>74</v>
      </c>
      <c r="BQ821" t="s">
        <v>74</v>
      </c>
      <c r="BR821" t="s">
        <v>107</v>
      </c>
      <c r="BS821" t="s">
        <v>11209</v>
      </c>
      <c r="BT821" t="str">
        <f>HYPERLINK("https%3A%2F%2Fwww.webofscience.com%2Fwos%2Fwoscc%2Ffull-record%2FWOS:000177907600006","View Full Record in Web of Science")</f>
        <v>View Full Record in Web of Science</v>
      </c>
    </row>
    <row r="822" spans="1:72" x14ac:dyDescent="0.15">
      <c r="A822" t="s">
        <v>72</v>
      </c>
      <c r="B822" t="s">
        <v>11210</v>
      </c>
      <c r="C822" t="s">
        <v>74</v>
      </c>
      <c r="D822" t="s">
        <v>74</v>
      </c>
      <c r="E822" t="s">
        <v>74</v>
      </c>
      <c r="F822" t="s">
        <v>11210</v>
      </c>
      <c r="G822" t="s">
        <v>74</v>
      </c>
      <c r="H822" t="s">
        <v>74</v>
      </c>
      <c r="I822" t="s">
        <v>11211</v>
      </c>
      <c r="J822" t="s">
        <v>11212</v>
      </c>
      <c r="K822" t="s">
        <v>74</v>
      </c>
      <c r="L822" t="s">
        <v>74</v>
      </c>
      <c r="M822" t="s">
        <v>77</v>
      </c>
      <c r="N822" t="s">
        <v>153</v>
      </c>
      <c r="O822" t="s">
        <v>74</v>
      </c>
      <c r="P822" t="s">
        <v>74</v>
      </c>
      <c r="Q822" t="s">
        <v>74</v>
      </c>
      <c r="R822" t="s">
        <v>74</v>
      </c>
      <c r="S822" t="s">
        <v>74</v>
      </c>
      <c r="T822" t="s">
        <v>74</v>
      </c>
      <c r="U822" t="s">
        <v>11213</v>
      </c>
      <c r="V822" t="s">
        <v>74</v>
      </c>
      <c r="W822" t="s">
        <v>11214</v>
      </c>
      <c r="X822" t="s">
        <v>11215</v>
      </c>
      <c r="Y822" t="s">
        <v>11216</v>
      </c>
      <c r="Z822" t="s">
        <v>74</v>
      </c>
      <c r="AA822" t="s">
        <v>74</v>
      </c>
      <c r="AB822" t="s">
        <v>74</v>
      </c>
      <c r="AC822" t="s">
        <v>74</v>
      </c>
      <c r="AD822" t="s">
        <v>74</v>
      </c>
      <c r="AE822" t="s">
        <v>74</v>
      </c>
      <c r="AF822" t="s">
        <v>74</v>
      </c>
      <c r="AG822">
        <v>7</v>
      </c>
      <c r="AH822">
        <v>8</v>
      </c>
      <c r="AI822">
        <v>8</v>
      </c>
      <c r="AJ822">
        <v>3</v>
      </c>
      <c r="AK822">
        <v>3</v>
      </c>
      <c r="AL822" t="s">
        <v>11217</v>
      </c>
      <c r="AM822" t="s">
        <v>11218</v>
      </c>
      <c r="AN822" t="s">
        <v>11219</v>
      </c>
      <c r="AO822" t="s">
        <v>11220</v>
      </c>
      <c r="AP822" t="s">
        <v>74</v>
      </c>
      <c r="AQ822" t="s">
        <v>74</v>
      </c>
      <c r="AR822" t="s">
        <v>11212</v>
      </c>
      <c r="AS822" t="s">
        <v>11221</v>
      </c>
      <c r="AT822" t="s">
        <v>7127</v>
      </c>
      <c r="AU822">
        <v>2002</v>
      </c>
      <c r="AV822">
        <v>57</v>
      </c>
      <c r="AW822">
        <v>1</v>
      </c>
      <c r="AX822" t="s">
        <v>74</v>
      </c>
      <c r="AY822" t="s">
        <v>74</v>
      </c>
      <c r="AZ822" t="s">
        <v>74</v>
      </c>
      <c r="BA822" t="s">
        <v>74</v>
      </c>
      <c r="BB822">
        <v>73</v>
      </c>
      <c r="BC822">
        <v>74</v>
      </c>
      <c r="BD822" t="s">
        <v>74</v>
      </c>
      <c r="BE822" t="s">
        <v>74</v>
      </c>
      <c r="BF822" t="s">
        <v>74</v>
      </c>
      <c r="BG822" t="s">
        <v>74</v>
      </c>
      <c r="BH822" t="s">
        <v>74</v>
      </c>
      <c r="BI822">
        <v>2</v>
      </c>
      <c r="BJ822" t="s">
        <v>11222</v>
      </c>
      <c r="BK822" t="s">
        <v>11223</v>
      </c>
      <c r="BL822" t="s">
        <v>11224</v>
      </c>
      <c r="BM822" t="s">
        <v>11225</v>
      </c>
      <c r="BN822">
        <v>11836938</v>
      </c>
      <c r="BO822" t="s">
        <v>74</v>
      </c>
      <c r="BP822" t="s">
        <v>74</v>
      </c>
      <c r="BQ822" t="s">
        <v>74</v>
      </c>
      <c r="BR822" t="s">
        <v>107</v>
      </c>
      <c r="BS822" t="s">
        <v>11226</v>
      </c>
      <c r="BT822" t="str">
        <f>HYPERLINK("https%3A%2F%2Fwww.webofscience.com%2Fwos%2Fwoscc%2Ffull-record%2FWOS:000173409900013","View Full Record in Web of Science")</f>
        <v>View Full Record in Web of Science</v>
      </c>
    </row>
    <row r="823" spans="1:72" x14ac:dyDescent="0.15">
      <c r="A823" t="s">
        <v>72</v>
      </c>
      <c r="B823" t="s">
        <v>11227</v>
      </c>
      <c r="C823" t="s">
        <v>74</v>
      </c>
      <c r="D823" t="s">
        <v>74</v>
      </c>
      <c r="E823" t="s">
        <v>74</v>
      </c>
      <c r="F823" t="s">
        <v>11227</v>
      </c>
      <c r="G823" t="s">
        <v>74</v>
      </c>
      <c r="H823" t="s">
        <v>74</v>
      </c>
      <c r="I823" t="s">
        <v>11228</v>
      </c>
      <c r="J823" t="s">
        <v>2960</v>
      </c>
      <c r="K823" t="s">
        <v>74</v>
      </c>
      <c r="L823" t="s">
        <v>74</v>
      </c>
      <c r="M823" t="s">
        <v>77</v>
      </c>
      <c r="N823" t="s">
        <v>153</v>
      </c>
      <c r="O823" t="s">
        <v>74</v>
      </c>
      <c r="P823" t="s">
        <v>74</v>
      </c>
      <c r="Q823" t="s">
        <v>74</v>
      </c>
      <c r="R823" t="s">
        <v>74</v>
      </c>
      <c r="S823" t="s">
        <v>74</v>
      </c>
      <c r="T823" t="s">
        <v>74</v>
      </c>
      <c r="U823" t="s">
        <v>11229</v>
      </c>
      <c r="V823" t="s">
        <v>11230</v>
      </c>
      <c r="W823" t="s">
        <v>1950</v>
      </c>
      <c r="X823" t="s">
        <v>1951</v>
      </c>
      <c r="Y823" t="s">
        <v>11231</v>
      </c>
      <c r="Z823" t="s">
        <v>11232</v>
      </c>
      <c r="AA823" t="s">
        <v>74</v>
      </c>
      <c r="AB823" t="s">
        <v>74</v>
      </c>
      <c r="AC823" t="s">
        <v>74</v>
      </c>
      <c r="AD823" t="s">
        <v>74</v>
      </c>
      <c r="AE823" t="s">
        <v>74</v>
      </c>
      <c r="AF823" t="s">
        <v>74</v>
      </c>
      <c r="AG823">
        <v>38</v>
      </c>
      <c r="AH823">
        <v>6</v>
      </c>
      <c r="AI823">
        <v>8</v>
      </c>
      <c r="AJ823">
        <v>1</v>
      </c>
      <c r="AK823">
        <v>8</v>
      </c>
      <c r="AL823" t="s">
        <v>11233</v>
      </c>
      <c r="AM823" t="s">
        <v>3580</v>
      </c>
      <c r="AN823" t="s">
        <v>11234</v>
      </c>
      <c r="AO823" t="s">
        <v>2968</v>
      </c>
      <c r="AP823" t="s">
        <v>74</v>
      </c>
      <c r="AQ823" t="s">
        <v>74</v>
      </c>
      <c r="AR823" t="s">
        <v>2960</v>
      </c>
      <c r="AS823" t="s">
        <v>2970</v>
      </c>
      <c r="AT823" t="s">
        <v>7127</v>
      </c>
      <c r="AU823">
        <v>2002</v>
      </c>
      <c r="AV823">
        <v>41</v>
      </c>
      <c r="AW823">
        <v>1</v>
      </c>
      <c r="AX823" t="s">
        <v>74</v>
      </c>
      <c r="AY823" t="s">
        <v>74</v>
      </c>
      <c r="AZ823" t="s">
        <v>74</v>
      </c>
      <c r="BA823" t="s">
        <v>74</v>
      </c>
      <c r="BB823">
        <v>1</v>
      </c>
      <c r="BC823">
        <v>9</v>
      </c>
      <c r="BD823" t="s">
        <v>74</v>
      </c>
      <c r="BE823" t="s">
        <v>11235</v>
      </c>
      <c r="BF823" t="str">
        <f>HYPERLINK("http://dx.doi.org/10.2216/i0031-8884-41-1-1.1","http://dx.doi.org/10.2216/i0031-8884-41-1-1.1")</f>
        <v>http://dx.doi.org/10.2216/i0031-8884-41-1-1.1</v>
      </c>
      <c r="BG823" t="s">
        <v>74</v>
      </c>
      <c r="BH823" t="s">
        <v>74</v>
      </c>
      <c r="BI823">
        <v>9</v>
      </c>
      <c r="BJ823" t="s">
        <v>2380</v>
      </c>
      <c r="BK823" t="s">
        <v>170</v>
      </c>
      <c r="BL823" t="s">
        <v>2380</v>
      </c>
      <c r="BM823" t="s">
        <v>11236</v>
      </c>
      <c r="BN823" t="s">
        <v>74</v>
      </c>
      <c r="BO823" t="s">
        <v>74</v>
      </c>
      <c r="BP823" t="s">
        <v>74</v>
      </c>
      <c r="BQ823" t="s">
        <v>74</v>
      </c>
      <c r="BR823" t="s">
        <v>107</v>
      </c>
      <c r="BS823" t="s">
        <v>11237</v>
      </c>
      <c r="BT823" t="str">
        <f>HYPERLINK("https%3A%2F%2Fwww.webofscience.com%2Fwos%2Fwoscc%2Ffull-record%2FWOS:000174592000001","View Full Record in Web of Science")</f>
        <v>View Full Record in Web of Science</v>
      </c>
    </row>
    <row r="824" spans="1:72" x14ac:dyDescent="0.15">
      <c r="A824" t="s">
        <v>72</v>
      </c>
      <c r="B824" t="s">
        <v>11238</v>
      </c>
      <c r="C824" t="s">
        <v>74</v>
      </c>
      <c r="D824" t="s">
        <v>74</v>
      </c>
      <c r="E824" t="s">
        <v>74</v>
      </c>
      <c r="F824" t="s">
        <v>11238</v>
      </c>
      <c r="G824" t="s">
        <v>74</v>
      </c>
      <c r="H824" t="s">
        <v>74</v>
      </c>
      <c r="I824" t="s">
        <v>11239</v>
      </c>
      <c r="J824" t="s">
        <v>241</v>
      </c>
      <c r="K824" t="s">
        <v>74</v>
      </c>
      <c r="L824" t="s">
        <v>74</v>
      </c>
      <c r="M824" t="s">
        <v>77</v>
      </c>
      <c r="N824" t="s">
        <v>153</v>
      </c>
      <c r="O824" t="s">
        <v>74</v>
      </c>
      <c r="P824" t="s">
        <v>74</v>
      </c>
      <c r="Q824" t="s">
        <v>74</v>
      </c>
      <c r="R824" t="s">
        <v>74</v>
      </c>
      <c r="S824" t="s">
        <v>74</v>
      </c>
      <c r="T824" t="s">
        <v>74</v>
      </c>
      <c r="U824" t="s">
        <v>11240</v>
      </c>
      <c r="V824" t="s">
        <v>11241</v>
      </c>
      <c r="W824" t="s">
        <v>11242</v>
      </c>
      <c r="X824" t="s">
        <v>11243</v>
      </c>
      <c r="Y824" t="s">
        <v>11244</v>
      </c>
      <c r="Z824" t="s">
        <v>74</v>
      </c>
      <c r="AA824" t="s">
        <v>74</v>
      </c>
      <c r="AB824" t="s">
        <v>11245</v>
      </c>
      <c r="AC824" t="s">
        <v>74</v>
      </c>
      <c r="AD824" t="s">
        <v>74</v>
      </c>
      <c r="AE824" t="s">
        <v>74</v>
      </c>
      <c r="AF824" t="s">
        <v>74</v>
      </c>
      <c r="AG824">
        <v>45</v>
      </c>
      <c r="AH824">
        <v>39</v>
      </c>
      <c r="AI824">
        <v>43</v>
      </c>
      <c r="AJ824">
        <v>0</v>
      </c>
      <c r="AK824">
        <v>0</v>
      </c>
      <c r="AL824" t="s">
        <v>249</v>
      </c>
      <c r="AM824" t="s">
        <v>250</v>
      </c>
      <c r="AN824" t="s">
        <v>251</v>
      </c>
      <c r="AO824" t="s">
        <v>252</v>
      </c>
      <c r="AP824" t="s">
        <v>74</v>
      </c>
      <c r="AQ824" t="s">
        <v>74</v>
      </c>
      <c r="AR824" t="s">
        <v>253</v>
      </c>
      <c r="AS824" t="s">
        <v>254</v>
      </c>
      <c r="AT824" t="s">
        <v>9117</v>
      </c>
      <c r="AU824">
        <v>2002</v>
      </c>
      <c r="AV824">
        <v>65</v>
      </c>
      <c r="AW824">
        <v>1</v>
      </c>
      <c r="AX824" t="s">
        <v>74</v>
      </c>
      <c r="AY824" t="s">
        <v>74</v>
      </c>
      <c r="AZ824" t="s">
        <v>74</v>
      </c>
      <c r="BA824" t="s">
        <v>74</v>
      </c>
      <c r="BB824" t="s">
        <v>74</v>
      </c>
      <c r="BC824" t="s">
        <v>74</v>
      </c>
      <c r="BD824">
        <v>16003</v>
      </c>
      <c r="BE824" t="s">
        <v>11246</v>
      </c>
      <c r="BF824" t="str">
        <f>HYPERLINK("http://dx.doi.org/10.1103/PhysRevD.65.016003","http://dx.doi.org/10.1103/PhysRevD.65.016003")</f>
        <v>http://dx.doi.org/10.1103/PhysRevD.65.016003</v>
      </c>
      <c r="BG824" t="s">
        <v>74</v>
      </c>
      <c r="BH824" t="s">
        <v>74</v>
      </c>
      <c r="BI824">
        <v>12</v>
      </c>
      <c r="BJ824" t="s">
        <v>256</v>
      </c>
      <c r="BK824" t="s">
        <v>170</v>
      </c>
      <c r="BL824" t="s">
        <v>257</v>
      </c>
      <c r="BM824" t="s">
        <v>11247</v>
      </c>
      <c r="BN824" t="s">
        <v>74</v>
      </c>
      <c r="BO824" t="s">
        <v>665</v>
      </c>
      <c r="BP824" t="s">
        <v>74</v>
      </c>
      <c r="BQ824" t="s">
        <v>74</v>
      </c>
      <c r="BR824" t="s">
        <v>107</v>
      </c>
      <c r="BS824" t="s">
        <v>11248</v>
      </c>
      <c r="BT824" t="str">
        <f>HYPERLINK("https%3A%2F%2Fwww.webofscience.com%2Fwos%2Fwoscc%2Ffull-record%2FWOS:000173125000060","View Full Record in Web of Science")</f>
        <v>View Full Record in Web of Science</v>
      </c>
    </row>
    <row r="825" spans="1:72" x14ac:dyDescent="0.15">
      <c r="A825" t="s">
        <v>72</v>
      </c>
      <c r="B825" t="s">
        <v>11249</v>
      </c>
      <c r="C825" t="s">
        <v>74</v>
      </c>
      <c r="D825" t="s">
        <v>74</v>
      </c>
      <c r="E825" t="s">
        <v>74</v>
      </c>
      <c r="F825" t="s">
        <v>11249</v>
      </c>
      <c r="G825" t="s">
        <v>74</v>
      </c>
      <c r="H825" t="s">
        <v>74</v>
      </c>
      <c r="I825" t="s">
        <v>11250</v>
      </c>
      <c r="J825" t="s">
        <v>11251</v>
      </c>
      <c r="K825" t="s">
        <v>74</v>
      </c>
      <c r="L825" t="s">
        <v>74</v>
      </c>
      <c r="M825" t="s">
        <v>77</v>
      </c>
      <c r="N825" t="s">
        <v>78</v>
      </c>
      <c r="O825" t="s">
        <v>11252</v>
      </c>
      <c r="P825" t="s">
        <v>11253</v>
      </c>
      <c r="Q825" t="s">
        <v>11254</v>
      </c>
      <c r="R825" t="s">
        <v>74</v>
      </c>
      <c r="S825" t="s">
        <v>74</v>
      </c>
      <c r="T825" t="s">
        <v>11255</v>
      </c>
      <c r="U825" t="s">
        <v>74</v>
      </c>
      <c r="V825" t="s">
        <v>11256</v>
      </c>
      <c r="W825" t="s">
        <v>5281</v>
      </c>
      <c r="X825" t="s">
        <v>5282</v>
      </c>
      <c r="Y825" t="s">
        <v>11257</v>
      </c>
      <c r="Z825" t="s">
        <v>74</v>
      </c>
      <c r="AA825" t="s">
        <v>74</v>
      </c>
      <c r="AB825" t="s">
        <v>74</v>
      </c>
      <c r="AC825" t="s">
        <v>74</v>
      </c>
      <c r="AD825" t="s">
        <v>74</v>
      </c>
      <c r="AE825" t="s">
        <v>74</v>
      </c>
      <c r="AF825" t="s">
        <v>74</v>
      </c>
      <c r="AG825">
        <v>4</v>
      </c>
      <c r="AH825">
        <v>3</v>
      </c>
      <c r="AI825">
        <v>3</v>
      </c>
      <c r="AJ825">
        <v>1</v>
      </c>
      <c r="AK825">
        <v>3</v>
      </c>
      <c r="AL825" t="s">
        <v>1013</v>
      </c>
      <c r="AM825" t="s">
        <v>895</v>
      </c>
      <c r="AN825" t="s">
        <v>1014</v>
      </c>
      <c r="AO825" t="s">
        <v>11258</v>
      </c>
      <c r="AP825" t="s">
        <v>74</v>
      </c>
      <c r="AQ825" t="s">
        <v>74</v>
      </c>
      <c r="AR825" t="s">
        <v>11259</v>
      </c>
      <c r="AS825" t="s">
        <v>11260</v>
      </c>
      <c r="AT825" t="s">
        <v>74</v>
      </c>
      <c r="AU825">
        <v>2002</v>
      </c>
      <c r="AV825">
        <v>27</v>
      </c>
      <c r="AW825" t="s">
        <v>11261</v>
      </c>
      <c r="AX825" t="s">
        <v>74</v>
      </c>
      <c r="AY825" t="s">
        <v>74</v>
      </c>
      <c r="AZ825" t="s">
        <v>74</v>
      </c>
      <c r="BA825" t="s">
        <v>74</v>
      </c>
      <c r="BB825">
        <v>449</v>
      </c>
      <c r="BC825">
        <v>453</v>
      </c>
      <c r="BD825" t="s">
        <v>11262</v>
      </c>
      <c r="BE825" t="s">
        <v>11263</v>
      </c>
      <c r="BF825" t="str">
        <f>HYPERLINK("http://dx.doi.org/10.1016/S1474-7065(02)00025-6","http://dx.doi.org/10.1016/S1474-7065(02)00025-6")</f>
        <v>http://dx.doi.org/10.1016/S1474-7065(02)00025-6</v>
      </c>
      <c r="BG825" t="s">
        <v>74</v>
      </c>
      <c r="BH825" t="s">
        <v>74</v>
      </c>
      <c r="BI825">
        <v>5</v>
      </c>
      <c r="BJ825" t="s">
        <v>11264</v>
      </c>
      <c r="BK825" t="s">
        <v>744</v>
      </c>
      <c r="BL825" t="s">
        <v>11265</v>
      </c>
      <c r="BM825" t="s">
        <v>11266</v>
      </c>
      <c r="BN825" t="s">
        <v>74</v>
      </c>
      <c r="BO825" t="s">
        <v>74</v>
      </c>
      <c r="BP825" t="s">
        <v>74</v>
      </c>
      <c r="BQ825" t="s">
        <v>74</v>
      </c>
      <c r="BR825" t="s">
        <v>107</v>
      </c>
      <c r="BS825" t="s">
        <v>11267</v>
      </c>
      <c r="BT825" t="str">
        <f>HYPERLINK("https%3A%2F%2Fwww.webofscience.com%2Fwos%2Fwoscc%2Ffull-record%2FWOS:000177044100008","View Full Record in Web of Science")</f>
        <v>View Full Record in Web of Science</v>
      </c>
    </row>
    <row r="826" spans="1:72" x14ac:dyDescent="0.15">
      <c r="A826" t="s">
        <v>72</v>
      </c>
      <c r="B826" t="s">
        <v>11268</v>
      </c>
      <c r="C826" t="s">
        <v>74</v>
      </c>
      <c r="D826" t="s">
        <v>74</v>
      </c>
      <c r="E826" t="s">
        <v>74</v>
      </c>
      <c r="F826" t="s">
        <v>11268</v>
      </c>
      <c r="G826" t="s">
        <v>74</v>
      </c>
      <c r="H826" t="s">
        <v>74</v>
      </c>
      <c r="I826" t="s">
        <v>11269</v>
      </c>
      <c r="J826" t="s">
        <v>11251</v>
      </c>
      <c r="K826" t="s">
        <v>74</v>
      </c>
      <c r="L826" t="s">
        <v>74</v>
      </c>
      <c r="M826" t="s">
        <v>77</v>
      </c>
      <c r="N826" t="s">
        <v>78</v>
      </c>
      <c r="O826" t="s">
        <v>11252</v>
      </c>
      <c r="P826" t="s">
        <v>11253</v>
      </c>
      <c r="Q826" t="s">
        <v>11254</v>
      </c>
      <c r="R826" t="s">
        <v>74</v>
      </c>
      <c r="S826" t="s">
        <v>74</v>
      </c>
      <c r="T826" t="s">
        <v>11270</v>
      </c>
      <c r="U826" t="s">
        <v>11271</v>
      </c>
      <c r="V826" t="s">
        <v>11272</v>
      </c>
      <c r="W826" t="s">
        <v>11273</v>
      </c>
      <c r="X826" t="s">
        <v>11274</v>
      </c>
      <c r="Y826" t="s">
        <v>11275</v>
      </c>
      <c r="Z826" t="s">
        <v>74</v>
      </c>
      <c r="AA826" t="s">
        <v>74</v>
      </c>
      <c r="AB826" t="s">
        <v>74</v>
      </c>
      <c r="AC826" t="s">
        <v>74</v>
      </c>
      <c r="AD826" t="s">
        <v>74</v>
      </c>
      <c r="AE826" t="s">
        <v>74</v>
      </c>
      <c r="AF826" t="s">
        <v>74</v>
      </c>
      <c r="AG826">
        <v>44</v>
      </c>
      <c r="AH826">
        <v>77</v>
      </c>
      <c r="AI826">
        <v>79</v>
      </c>
      <c r="AJ826">
        <v>0</v>
      </c>
      <c r="AK826">
        <v>4</v>
      </c>
      <c r="AL826" t="s">
        <v>1013</v>
      </c>
      <c r="AM826" t="s">
        <v>895</v>
      </c>
      <c r="AN826" t="s">
        <v>1014</v>
      </c>
      <c r="AO826" t="s">
        <v>11258</v>
      </c>
      <c r="AP826" t="s">
        <v>74</v>
      </c>
      <c r="AQ826" t="s">
        <v>74</v>
      </c>
      <c r="AR826" t="s">
        <v>11259</v>
      </c>
      <c r="AS826" t="s">
        <v>11260</v>
      </c>
      <c r="AT826" t="s">
        <v>74</v>
      </c>
      <c r="AU826">
        <v>2002</v>
      </c>
      <c r="AV826">
        <v>27</v>
      </c>
      <c r="AW826" t="s">
        <v>11261</v>
      </c>
      <c r="AX826" t="s">
        <v>74</v>
      </c>
      <c r="AY826" t="s">
        <v>74</v>
      </c>
      <c r="AZ826" t="s">
        <v>74</v>
      </c>
      <c r="BA826" t="s">
        <v>74</v>
      </c>
      <c r="BB826">
        <v>543</v>
      </c>
      <c r="BC826">
        <v>553</v>
      </c>
      <c r="BD826" t="s">
        <v>11276</v>
      </c>
      <c r="BE826" t="s">
        <v>11277</v>
      </c>
      <c r="BF826" t="str">
        <f>HYPERLINK("http://dx.doi.org/10.1016/S1474-7065(02)00036-0","http://dx.doi.org/10.1016/S1474-7065(02)00036-0")</f>
        <v>http://dx.doi.org/10.1016/S1474-7065(02)00036-0</v>
      </c>
      <c r="BG826" t="s">
        <v>74</v>
      </c>
      <c r="BH826" t="s">
        <v>74</v>
      </c>
      <c r="BI826">
        <v>11</v>
      </c>
      <c r="BJ826" t="s">
        <v>11264</v>
      </c>
      <c r="BK826" t="s">
        <v>744</v>
      </c>
      <c r="BL826" t="s">
        <v>11265</v>
      </c>
      <c r="BM826" t="s">
        <v>11266</v>
      </c>
      <c r="BN826" t="s">
        <v>74</v>
      </c>
      <c r="BO826" t="s">
        <v>74</v>
      </c>
      <c r="BP826" t="s">
        <v>74</v>
      </c>
      <c r="BQ826" t="s">
        <v>74</v>
      </c>
      <c r="BR826" t="s">
        <v>107</v>
      </c>
      <c r="BS826" t="s">
        <v>11278</v>
      </c>
      <c r="BT826" t="str">
        <f>HYPERLINK("https%3A%2F%2Fwww.webofscience.com%2Fwos%2Fwoscc%2Ffull-record%2FWOS:000177044100019","View Full Record in Web of Science")</f>
        <v>View Full Record in Web of Science</v>
      </c>
    </row>
    <row r="827" spans="1:72" x14ac:dyDescent="0.15">
      <c r="A827" t="s">
        <v>72</v>
      </c>
      <c r="B827" t="s">
        <v>11279</v>
      </c>
      <c r="C827" t="s">
        <v>74</v>
      </c>
      <c r="D827" t="s">
        <v>74</v>
      </c>
      <c r="E827" t="s">
        <v>74</v>
      </c>
      <c r="F827" t="s">
        <v>11279</v>
      </c>
      <c r="G827" t="s">
        <v>74</v>
      </c>
      <c r="H827" t="s">
        <v>74</v>
      </c>
      <c r="I827" t="s">
        <v>11280</v>
      </c>
      <c r="J827" t="s">
        <v>11251</v>
      </c>
      <c r="K827" t="s">
        <v>74</v>
      </c>
      <c r="L827" t="s">
        <v>74</v>
      </c>
      <c r="M827" t="s">
        <v>77</v>
      </c>
      <c r="N827" t="s">
        <v>78</v>
      </c>
      <c r="O827" t="s">
        <v>11252</v>
      </c>
      <c r="P827" t="s">
        <v>11253</v>
      </c>
      <c r="Q827" t="s">
        <v>11254</v>
      </c>
      <c r="R827" t="s">
        <v>74</v>
      </c>
      <c r="S827" t="s">
        <v>74</v>
      </c>
      <c r="T827" t="s">
        <v>11281</v>
      </c>
      <c r="U827" t="s">
        <v>11282</v>
      </c>
      <c r="V827" t="s">
        <v>11283</v>
      </c>
      <c r="W827" t="s">
        <v>11284</v>
      </c>
      <c r="X827" t="s">
        <v>852</v>
      </c>
      <c r="Y827" t="s">
        <v>11285</v>
      </c>
      <c r="Z827" t="s">
        <v>74</v>
      </c>
      <c r="AA827" t="s">
        <v>11286</v>
      </c>
      <c r="AB827" t="s">
        <v>11287</v>
      </c>
      <c r="AC827" t="s">
        <v>74</v>
      </c>
      <c r="AD827" t="s">
        <v>74</v>
      </c>
      <c r="AE827" t="s">
        <v>74</v>
      </c>
      <c r="AF827" t="s">
        <v>74</v>
      </c>
      <c r="AG827">
        <v>23</v>
      </c>
      <c r="AH827">
        <v>14</v>
      </c>
      <c r="AI827">
        <v>14</v>
      </c>
      <c r="AJ827">
        <v>0</v>
      </c>
      <c r="AK827">
        <v>6</v>
      </c>
      <c r="AL827" t="s">
        <v>1013</v>
      </c>
      <c r="AM827" t="s">
        <v>895</v>
      </c>
      <c r="AN827" t="s">
        <v>1014</v>
      </c>
      <c r="AO827" t="s">
        <v>11258</v>
      </c>
      <c r="AP827" t="s">
        <v>74</v>
      </c>
      <c r="AQ827" t="s">
        <v>74</v>
      </c>
      <c r="AR827" t="s">
        <v>11259</v>
      </c>
      <c r="AS827" t="s">
        <v>11260</v>
      </c>
      <c r="AT827" t="s">
        <v>74</v>
      </c>
      <c r="AU827">
        <v>2002</v>
      </c>
      <c r="AV827">
        <v>27</v>
      </c>
      <c r="AW827" t="s">
        <v>11261</v>
      </c>
      <c r="AX827" t="s">
        <v>74</v>
      </c>
      <c r="AY827" t="s">
        <v>74</v>
      </c>
      <c r="AZ827" t="s">
        <v>74</v>
      </c>
      <c r="BA827" t="s">
        <v>74</v>
      </c>
      <c r="BB827">
        <v>589</v>
      </c>
      <c r="BC827">
        <v>594</v>
      </c>
      <c r="BD827" t="s">
        <v>11288</v>
      </c>
      <c r="BE827" t="s">
        <v>11289</v>
      </c>
      <c r="BF827" t="str">
        <f>HYPERLINK("http://dx.doi.org/10.1016/S1474-7065(02)00041-4","http://dx.doi.org/10.1016/S1474-7065(02)00041-4")</f>
        <v>http://dx.doi.org/10.1016/S1474-7065(02)00041-4</v>
      </c>
      <c r="BG827" t="s">
        <v>74</v>
      </c>
      <c r="BH827" t="s">
        <v>74</v>
      </c>
      <c r="BI827">
        <v>6</v>
      </c>
      <c r="BJ827" t="s">
        <v>11264</v>
      </c>
      <c r="BK827" t="s">
        <v>744</v>
      </c>
      <c r="BL827" t="s">
        <v>11265</v>
      </c>
      <c r="BM827" t="s">
        <v>11266</v>
      </c>
      <c r="BN827" t="s">
        <v>74</v>
      </c>
      <c r="BO827" t="s">
        <v>74</v>
      </c>
      <c r="BP827" t="s">
        <v>74</v>
      </c>
      <c r="BQ827" t="s">
        <v>74</v>
      </c>
      <c r="BR827" t="s">
        <v>107</v>
      </c>
      <c r="BS827" t="s">
        <v>11290</v>
      </c>
      <c r="BT827" t="str">
        <f>HYPERLINK("https%3A%2F%2Fwww.webofscience.com%2Fwos%2Fwoscc%2Ffull-record%2FWOS:000177044100024","View Full Record in Web of Science")</f>
        <v>View Full Record in Web of Science</v>
      </c>
    </row>
    <row r="828" spans="1:72" x14ac:dyDescent="0.15">
      <c r="A828" t="s">
        <v>72</v>
      </c>
      <c r="B828" t="s">
        <v>11291</v>
      </c>
      <c r="C828" t="s">
        <v>74</v>
      </c>
      <c r="D828" t="s">
        <v>74</v>
      </c>
      <c r="E828" t="s">
        <v>74</v>
      </c>
      <c r="F828" t="s">
        <v>11291</v>
      </c>
      <c r="G828" t="s">
        <v>74</v>
      </c>
      <c r="H828" t="s">
        <v>74</v>
      </c>
      <c r="I828" t="s">
        <v>11292</v>
      </c>
      <c r="J828" t="s">
        <v>11251</v>
      </c>
      <c r="K828" t="s">
        <v>74</v>
      </c>
      <c r="L828" t="s">
        <v>74</v>
      </c>
      <c r="M828" t="s">
        <v>77</v>
      </c>
      <c r="N828" t="s">
        <v>78</v>
      </c>
      <c r="O828" t="s">
        <v>11252</v>
      </c>
      <c r="P828" t="s">
        <v>11253</v>
      </c>
      <c r="Q828" t="s">
        <v>11254</v>
      </c>
      <c r="R828" t="s">
        <v>74</v>
      </c>
      <c r="S828" t="s">
        <v>74</v>
      </c>
      <c r="T828" t="s">
        <v>11293</v>
      </c>
      <c r="U828" t="s">
        <v>11294</v>
      </c>
      <c r="V828" t="s">
        <v>11295</v>
      </c>
      <c r="W828" t="s">
        <v>11296</v>
      </c>
      <c r="X828" t="s">
        <v>6020</v>
      </c>
      <c r="Y828" t="s">
        <v>11297</v>
      </c>
      <c r="Z828" t="s">
        <v>11298</v>
      </c>
      <c r="AA828" t="s">
        <v>11299</v>
      </c>
      <c r="AB828" t="s">
        <v>11300</v>
      </c>
      <c r="AC828" t="s">
        <v>74</v>
      </c>
      <c r="AD828" t="s">
        <v>74</v>
      </c>
      <c r="AE828" t="s">
        <v>74</v>
      </c>
      <c r="AF828" t="s">
        <v>74</v>
      </c>
      <c r="AG828">
        <v>27</v>
      </c>
      <c r="AH828">
        <v>15</v>
      </c>
      <c r="AI828">
        <v>15</v>
      </c>
      <c r="AJ828">
        <v>0</v>
      </c>
      <c r="AK828">
        <v>7</v>
      </c>
      <c r="AL828" t="s">
        <v>1013</v>
      </c>
      <c r="AM828" t="s">
        <v>895</v>
      </c>
      <c r="AN828" t="s">
        <v>1014</v>
      </c>
      <c r="AO828" t="s">
        <v>11258</v>
      </c>
      <c r="AP828" t="s">
        <v>11301</v>
      </c>
      <c r="AQ828" t="s">
        <v>74</v>
      </c>
      <c r="AR828" t="s">
        <v>11259</v>
      </c>
      <c r="AS828" t="s">
        <v>11260</v>
      </c>
      <c r="AT828" t="s">
        <v>74</v>
      </c>
      <c r="AU828">
        <v>2002</v>
      </c>
      <c r="AV828">
        <v>27</v>
      </c>
      <c r="AW828" t="s">
        <v>11261</v>
      </c>
      <c r="AX828" t="s">
        <v>74</v>
      </c>
      <c r="AY828" t="s">
        <v>74</v>
      </c>
      <c r="AZ828" t="s">
        <v>74</v>
      </c>
      <c r="BA828" t="s">
        <v>74</v>
      </c>
      <c r="BB828">
        <v>607</v>
      </c>
      <c r="BC828">
        <v>612</v>
      </c>
      <c r="BD828" t="s">
        <v>11302</v>
      </c>
      <c r="BE828" t="s">
        <v>11303</v>
      </c>
      <c r="BF828" t="str">
        <f>HYPERLINK("http://dx.doi.org/10.1016/S1474-7065(02)00043-8","http://dx.doi.org/10.1016/S1474-7065(02)00043-8")</f>
        <v>http://dx.doi.org/10.1016/S1474-7065(02)00043-8</v>
      </c>
      <c r="BG828" t="s">
        <v>74</v>
      </c>
      <c r="BH828" t="s">
        <v>74</v>
      </c>
      <c r="BI828">
        <v>6</v>
      </c>
      <c r="BJ828" t="s">
        <v>11264</v>
      </c>
      <c r="BK828" t="s">
        <v>103</v>
      </c>
      <c r="BL828" t="s">
        <v>11265</v>
      </c>
      <c r="BM828" t="s">
        <v>11266</v>
      </c>
      <c r="BN828" t="s">
        <v>74</v>
      </c>
      <c r="BO828" t="s">
        <v>74</v>
      </c>
      <c r="BP828" t="s">
        <v>74</v>
      </c>
      <c r="BQ828" t="s">
        <v>74</v>
      </c>
      <c r="BR828" t="s">
        <v>107</v>
      </c>
      <c r="BS828" t="s">
        <v>11304</v>
      </c>
      <c r="BT828" t="str">
        <f>HYPERLINK("https%3A%2F%2Fwww.webofscience.com%2Fwos%2Fwoscc%2Ffull-record%2FWOS:000177044100026","View Full Record in Web of Science")</f>
        <v>View Full Record in Web of Science</v>
      </c>
    </row>
    <row r="829" spans="1:72" x14ac:dyDescent="0.15">
      <c r="A829" t="s">
        <v>72</v>
      </c>
      <c r="B829" t="s">
        <v>11305</v>
      </c>
      <c r="C829" t="s">
        <v>74</v>
      </c>
      <c r="D829" t="s">
        <v>74</v>
      </c>
      <c r="E829" t="s">
        <v>74</v>
      </c>
      <c r="F829" t="s">
        <v>11305</v>
      </c>
      <c r="G829" t="s">
        <v>74</v>
      </c>
      <c r="H829" t="s">
        <v>74</v>
      </c>
      <c r="I829" t="s">
        <v>11306</v>
      </c>
      <c r="J829" t="s">
        <v>11307</v>
      </c>
      <c r="K829" t="s">
        <v>74</v>
      </c>
      <c r="L829" t="s">
        <v>74</v>
      </c>
      <c r="M829" t="s">
        <v>77</v>
      </c>
      <c r="N829" t="s">
        <v>153</v>
      </c>
      <c r="O829" t="s">
        <v>74</v>
      </c>
      <c r="P829" t="s">
        <v>74</v>
      </c>
      <c r="Q829" t="s">
        <v>74</v>
      </c>
      <c r="R829" t="s">
        <v>74</v>
      </c>
      <c r="S829" t="s">
        <v>74</v>
      </c>
      <c r="T829" t="s">
        <v>11308</v>
      </c>
      <c r="U829" t="s">
        <v>11309</v>
      </c>
      <c r="V829" t="s">
        <v>11310</v>
      </c>
      <c r="W829" t="s">
        <v>11311</v>
      </c>
      <c r="X829" t="s">
        <v>11312</v>
      </c>
      <c r="Y829" t="s">
        <v>11313</v>
      </c>
      <c r="Z829" t="s">
        <v>74</v>
      </c>
      <c r="AA829" t="s">
        <v>74</v>
      </c>
      <c r="AB829" t="s">
        <v>11314</v>
      </c>
      <c r="AC829" t="s">
        <v>74</v>
      </c>
      <c r="AD829" t="s">
        <v>74</v>
      </c>
      <c r="AE829" t="s">
        <v>74</v>
      </c>
      <c r="AF829" t="s">
        <v>74</v>
      </c>
      <c r="AG829">
        <v>40</v>
      </c>
      <c r="AH829">
        <v>54</v>
      </c>
      <c r="AI829">
        <v>64</v>
      </c>
      <c r="AJ829">
        <v>1</v>
      </c>
      <c r="AK829">
        <v>23</v>
      </c>
      <c r="AL829" t="s">
        <v>290</v>
      </c>
      <c r="AM829" t="s">
        <v>195</v>
      </c>
      <c r="AN829" t="s">
        <v>291</v>
      </c>
      <c r="AO829" t="s">
        <v>11315</v>
      </c>
      <c r="AP829" t="s">
        <v>74</v>
      </c>
      <c r="AQ829" t="s">
        <v>74</v>
      </c>
      <c r="AR829" t="s">
        <v>11307</v>
      </c>
      <c r="AS829" t="s">
        <v>11316</v>
      </c>
      <c r="AT829" t="s">
        <v>7127</v>
      </c>
      <c r="AU829">
        <v>2002</v>
      </c>
      <c r="AV829">
        <v>214</v>
      </c>
      <c r="AW829">
        <v>3</v>
      </c>
      <c r="AX829" t="s">
        <v>74</v>
      </c>
      <c r="AY829" t="s">
        <v>74</v>
      </c>
      <c r="AZ829" t="s">
        <v>74</v>
      </c>
      <c r="BA829" t="s">
        <v>74</v>
      </c>
      <c r="BB829">
        <v>435</v>
      </c>
      <c r="BC829">
        <v>445</v>
      </c>
      <c r="BD829" t="s">
        <v>74</v>
      </c>
      <c r="BE829" t="s">
        <v>11317</v>
      </c>
      <c r="BF829" t="str">
        <f>HYPERLINK("http://dx.doi.org/10.1007/s004250100635","http://dx.doi.org/10.1007/s004250100635")</f>
        <v>http://dx.doi.org/10.1007/s004250100635</v>
      </c>
      <c r="BG829" t="s">
        <v>74</v>
      </c>
      <c r="BH829" t="s">
        <v>74</v>
      </c>
      <c r="BI829">
        <v>11</v>
      </c>
      <c r="BJ829" t="s">
        <v>2396</v>
      </c>
      <c r="BK829" t="s">
        <v>170</v>
      </c>
      <c r="BL829" t="s">
        <v>2396</v>
      </c>
      <c r="BM829" t="s">
        <v>11318</v>
      </c>
      <c r="BN829">
        <v>11859846</v>
      </c>
      <c r="BO829" t="s">
        <v>74</v>
      </c>
      <c r="BP829" t="s">
        <v>74</v>
      </c>
      <c r="BQ829" t="s">
        <v>74</v>
      </c>
      <c r="BR829" t="s">
        <v>107</v>
      </c>
      <c r="BS829" t="s">
        <v>11319</v>
      </c>
      <c r="BT829" t="str">
        <f>HYPERLINK("https%3A%2F%2Fwww.webofscience.com%2Fwos%2Fwoscc%2Ffull-record%2FWOS:000173848200014","View Full Record in Web of Science")</f>
        <v>View Full Record in Web of Science</v>
      </c>
    </row>
    <row r="830" spans="1:72" x14ac:dyDescent="0.15">
      <c r="A830" t="s">
        <v>72</v>
      </c>
      <c r="B830" t="s">
        <v>11320</v>
      </c>
      <c r="C830" t="s">
        <v>74</v>
      </c>
      <c r="D830" t="s">
        <v>74</v>
      </c>
      <c r="E830" t="s">
        <v>74</v>
      </c>
      <c r="F830" t="s">
        <v>11320</v>
      </c>
      <c r="G830" t="s">
        <v>74</v>
      </c>
      <c r="H830" t="s">
        <v>74</v>
      </c>
      <c r="I830" t="s">
        <v>11321</v>
      </c>
      <c r="J830" t="s">
        <v>263</v>
      </c>
      <c r="K830" t="s">
        <v>74</v>
      </c>
      <c r="L830" t="s">
        <v>74</v>
      </c>
      <c r="M830" t="s">
        <v>77</v>
      </c>
      <c r="N830" t="s">
        <v>153</v>
      </c>
      <c r="O830" t="s">
        <v>74</v>
      </c>
      <c r="P830" t="s">
        <v>74</v>
      </c>
      <c r="Q830" t="s">
        <v>74</v>
      </c>
      <c r="R830" t="s">
        <v>74</v>
      </c>
      <c r="S830" t="s">
        <v>74</v>
      </c>
      <c r="T830" t="s">
        <v>74</v>
      </c>
      <c r="U830" t="s">
        <v>11322</v>
      </c>
      <c r="V830" t="s">
        <v>11323</v>
      </c>
      <c r="W830" t="s">
        <v>11324</v>
      </c>
      <c r="X830" t="s">
        <v>11325</v>
      </c>
      <c r="Y830" t="s">
        <v>11326</v>
      </c>
      <c r="Z830" t="s">
        <v>11327</v>
      </c>
      <c r="AA830" t="s">
        <v>74</v>
      </c>
      <c r="AB830" t="s">
        <v>74</v>
      </c>
      <c r="AC830" t="s">
        <v>74</v>
      </c>
      <c r="AD830" t="s">
        <v>74</v>
      </c>
      <c r="AE830" t="s">
        <v>74</v>
      </c>
      <c r="AF830" t="s">
        <v>74</v>
      </c>
      <c r="AG830">
        <v>23</v>
      </c>
      <c r="AH830">
        <v>5</v>
      </c>
      <c r="AI830">
        <v>6</v>
      </c>
      <c r="AJ830">
        <v>1</v>
      </c>
      <c r="AK830">
        <v>18</v>
      </c>
      <c r="AL830" t="s">
        <v>194</v>
      </c>
      <c r="AM830" t="s">
        <v>195</v>
      </c>
      <c r="AN830" t="s">
        <v>196</v>
      </c>
      <c r="AO830" t="s">
        <v>272</v>
      </c>
      <c r="AP830" t="s">
        <v>74</v>
      </c>
      <c r="AQ830" t="s">
        <v>74</v>
      </c>
      <c r="AR830" t="s">
        <v>274</v>
      </c>
      <c r="AS830" t="s">
        <v>275</v>
      </c>
      <c r="AT830" t="s">
        <v>7127</v>
      </c>
      <c r="AU830">
        <v>2002</v>
      </c>
      <c r="AV830">
        <v>25</v>
      </c>
      <c r="AW830">
        <v>1</v>
      </c>
      <c r="AX830" t="s">
        <v>74</v>
      </c>
      <c r="AY830" t="s">
        <v>74</v>
      </c>
      <c r="AZ830" t="s">
        <v>74</v>
      </c>
      <c r="BA830" t="s">
        <v>74</v>
      </c>
      <c r="BB830">
        <v>1</v>
      </c>
      <c r="BC830">
        <v>4</v>
      </c>
      <c r="BD830" t="s">
        <v>74</v>
      </c>
      <c r="BE830" t="s">
        <v>11328</v>
      </c>
      <c r="BF830" t="str">
        <f>HYPERLINK("http://dx.doi.org/10.1007/s003000100303","http://dx.doi.org/10.1007/s003000100303")</f>
        <v>http://dx.doi.org/10.1007/s003000100303</v>
      </c>
      <c r="BG830" t="s">
        <v>74</v>
      </c>
      <c r="BH830" t="s">
        <v>74</v>
      </c>
      <c r="BI830">
        <v>4</v>
      </c>
      <c r="BJ830" t="s">
        <v>277</v>
      </c>
      <c r="BK830" t="s">
        <v>170</v>
      </c>
      <c r="BL830" t="s">
        <v>278</v>
      </c>
      <c r="BM830" t="s">
        <v>11329</v>
      </c>
      <c r="BN830" t="s">
        <v>74</v>
      </c>
      <c r="BO830" t="s">
        <v>74</v>
      </c>
      <c r="BP830" t="s">
        <v>74</v>
      </c>
      <c r="BQ830" t="s">
        <v>74</v>
      </c>
      <c r="BR830" t="s">
        <v>107</v>
      </c>
      <c r="BS830" t="s">
        <v>11330</v>
      </c>
      <c r="BT830" t="str">
        <f>HYPERLINK("https%3A%2F%2Fwww.webofscience.com%2Fwos%2Fwoscc%2Ffull-record%2FWOS:000173278100001","View Full Record in Web of Science")</f>
        <v>View Full Record in Web of Science</v>
      </c>
    </row>
    <row r="831" spans="1:72" x14ac:dyDescent="0.15">
      <c r="A831" t="s">
        <v>72</v>
      </c>
      <c r="B831" t="s">
        <v>11331</v>
      </c>
      <c r="C831" t="s">
        <v>74</v>
      </c>
      <c r="D831" t="s">
        <v>74</v>
      </c>
      <c r="E831" t="s">
        <v>74</v>
      </c>
      <c r="F831" t="s">
        <v>11331</v>
      </c>
      <c r="G831" t="s">
        <v>74</v>
      </c>
      <c r="H831" t="s">
        <v>74</v>
      </c>
      <c r="I831" t="s">
        <v>11332</v>
      </c>
      <c r="J831" t="s">
        <v>263</v>
      </c>
      <c r="K831" t="s">
        <v>74</v>
      </c>
      <c r="L831" t="s">
        <v>74</v>
      </c>
      <c r="M831" t="s">
        <v>77</v>
      </c>
      <c r="N831" t="s">
        <v>153</v>
      </c>
      <c r="O831" t="s">
        <v>74</v>
      </c>
      <c r="P831" t="s">
        <v>74</v>
      </c>
      <c r="Q831" t="s">
        <v>74</v>
      </c>
      <c r="R831" t="s">
        <v>74</v>
      </c>
      <c r="S831" t="s">
        <v>74</v>
      </c>
      <c r="T831" t="s">
        <v>74</v>
      </c>
      <c r="U831" t="s">
        <v>11333</v>
      </c>
      <c r="V831" t="s">
        <v>11334</v>
      </c>
      <c r="W831" t="s">
        <v>11335</v>
      </c>
      <c r="X831" t="s">
        <v>11336</v>
      </c>
      <c r="Y831" t="s">
        <v>11337</v>
      </c>
      <c r="Z831" t="s">
        <v>74</v>
      </c>
      <c r="AA831" t="s">
        <v>74</v>
      </c>
      <c r="AB831" t="s">
        <v>11338</v>
      </c>
      <c r="AC831" t="s">
        <v>74</v>
      </c>
      <c r="AD831" t="s">
        <v>74</v>
      </c>
      <c r="AE831" t="s">
        <v>74</v>
      </c>
      <c r="AF831" t="s">
        <v>74</v>
      </c>
      <c r="AG831">
        <v>43</v>
      </c>
      <c r="AH831">
        <v>37</v>
      </c>
      <c r="AI831">
        <v>44</v>
      </c>
      <c r="AJ831">
        <v>0</v>
      </c>
      <c r="AK831">
        <v>17</v>
      </c>
      <c r="AL831" t="s">
        <v>290</v>
      </c>
      <c r="AM831" t="s">
        <v>195</v>
      </c>
      <c r="AN831" t="s">
        <v>291</v>
      </c>
      <c r="AO831" t="s">
        <v>272</v>
      </c>
      <c r="AP831" t="s">
        <v>74</v>
      </c>
      <c r="AQ831" t="s">
        <v>74</v>
      </c>
      <c r="AR831" t="s">
        <v>274</v>
      </c>
      <c r="AS831" t="s">
        <v>275</v>
      </c>
      <c r="AT831" t="s">
        <v>7127</v>
      </c>
      <c r="AU831">
        <v>2002</v>
      </c>
      <c r="AV831">
        <v>25</v>
      </c>
      <c r="AW831">
        <v>1</v>
      </c>
      <c r="AX831" t="s">
        <v>74</v>
      </c>
      <c r="AY831" t="s">
        <v>74</v>
      </c>
      <c r="AZ831" t="s">
        <v>74</v>
      </c>
      <c r="BA831" t="s">
        <v>74</v>
      </c>
      <c r="BB831">
        <v>5</v>
      </c>
      <c r="BC831">
        <v>11</v>
      </c>
      <c r="BD831" t="s">
        <v>74</v>
      </c>
      <c r="BE831" t="s">
        <v>11339</v>
      </c>
      <c r="BF831" t="str">
        <f>HYPERLINK("http://dx.doi.org/10.1007/s003000100304","http://dx.doi.org/10.1007/s003000100304")</f>
        <v>http://dx.doi.org/10.1007/s003000100304</v>
      </c>
      <c r="BG831" t="s">
        <v>74</v>
      </c>
      <c r="BH831" t="s">
        <v>74</v>
      </c>
      <c r="BI831">
        <v>7</v>
      </c>
      <c r="BJ831" t="s">
        <v>277</v>
      </c>
      <c r="BK831" t="s">
        <v>170</v>
      </c>
      <c r="BL831" t="s">
        <v>278</v>
      </c>
      <c r="BM831" t="s">
        <v>11329</v>
      </c>
      <c r="BN831" t="s">
        <v>74</v>
      </c>
      <c r="BO831" t="s">
        <v>74</v>
      </c>
      <c r="BP831" t="s">
        <v>74</v>
      </c>
      <c r="BQ831" t="s">
        <v>74</v>
      </c>
      <c r="BR831" t="s">
        <v>107</v>
      </c>
      <c r="BS831" t="s">
        <v>11340</v>
      </c>
      <c r="BT831" t="str">
        <f>HYPERLINK("https%3A%2F%2Fwww.webofscience.com%2Fwos%2Fwoscc%2Ffull-record%2FWOS:000173278100002","View Full Record in Web of Science")</f>
        <v>View Full Record in Web of Science</v>
      </c>
    </row>
    <row r="832" spans="1:72" x14ac:dyDescent="0.15">
      <c r="A832" t="s">
        <v>72</v>
      </c>
      <c r="B832" t="s">
        <v>11341</v>
      </c>
      <c r="C832" t="s">
        <v>74</v>
      </c>
      <c r="D832" t="s">
        <v>74</v>
      </c>
      <c r="E832" t="s">
        <v>74</v>
      </c>
      <c r="F832" t="s">
        <v>11341</v>
      </c>
      <c r="G832" t="s">
        <v>74</v>
      </c>
      <c r="H832" t="s">
        <v>74</v>
      </c>
      <c r="I832" t="s">
        <v>11342</v>
      </c>
      <c r="J832" t="s">
        <v>263</v>
      </c>
      <c r="K832" t="s">
        <v>74</v>
      </c>
      <c r="L832" t="s">
        <v>74</v>
      </c>
      <c r="M832" t="s">
        <v>77</v>
      </c>
      <c r="N832" t="s">
        <v>153</v>
      </c>
      <c r="O832" t="s">
        <v>74</v>
      </c>
      <c r="P832" t="s">
        <v>74</v>
      </c>
      <c r="Q832" t="s">
        <v>74</v>
      </c>
      <c r="R832" t="s">
        <v>74</v>
      </c>
      <c r="S832" t="s">
        <v>74</v>
      </c>
      <c r="T832" t="s">
        <v>74</v>
      </c>
      <c r="U832" t="s">
        <v>11343</v>
      </c>
      <c r="V832" t="s">
        <v>11344</v>
      </c>
      <c r="W832" t="s">
        <v>11345</v>
      </c>
      <c r="X832" t="s">
        <v>11346</v>
      </c>
      <c r="Y832" t="s">
        <v>11347</v>
      </c>
      <c r="Z832" t="s">
        <v>11348</v>
      </c>
      <c r="AA832" t="s">
        <v>74</v>
      </c>
      <c r="AB832" t="s">
        <v>1886</v>
      </c>
      <c r="AC832" t="s">
        <v>74</v>
      </c>
      <c r="AD832" t="s">
        <v>74</v>
      </c>
      <c r="AE832" t="s">
        <v>74</v>
      </c>
      <c r="AF832" t="s">
        <v>74</v>
      </c>
      <c r="AG832">
        <v>40</v>
      </c>
      <c r="AH832">
        <v>36</v>
      </c>
      <c r="AI832">
        <v>40</v>
      </c>
      <c r="AJ832">
        <v>1</v>
      </c>
      <c r="AK832">
        <v>10</v>
      </c>
      <c r="AL832" t="s">
        <v>194</v>
      </c>
      <c r="AM832" t="s">
        <v>195</v>
      </c>
      <c r="AN832" t="s">
        <v>196</v>
      </c>
      <c r="AO832" t="s">
        <v>272</v>
      </c>
      <c r="AP832" t="s">
        <v>74</v>
      </c>
      <c r="AQ832" t="s">
        <v>74</v>
      </c>
      <c r="AR832" t="s">
        <v>274</v>
      </c>
      <c r="AS832" t="s">
        <v>275</v>
      </c>
      <c r="AT832" t="s">
        <v>7127</v>
      </c>
      <c r="AU832">
        <v>2002</v>
      </c>
      <c r="AV832">
        <v>25</v>
      </c>
      <c r="AW832">
        <v>1</v>
      </c>
      <c r="AX832" t="s">
        <v>74</v>
      </c>
      <c r="AY832" t="s">
        <v>74</v>
      </c>
      <c r="AZ832" t="s">
        <v>74</v>
      </c>
      <c r="BA832" t="s">
        <v>74</v>
      </c>
      <c r="BB832">
        <v>12</v>
      </c>
      <c r="BC832">
        <v>20</v>
      </c>
      <c r="BD832" t="s">
        <v>74</v>
      </c>
      <c r="BE832" t="s">
        <v>11349</v>
      </c>
      <c r="BF832" t="str">
        <f>HYPERLINK("http://dx.doi.org/10.1007/s003000100306","http://dx.doi.org/10.1007/s003000100306")</f>
        <v>http://dx.doi.org/10.1007/s003000100306</v>
      </c>
      <c r="BG832" t="s">
        <v>74</v>
      </c>
      <c r="BH832" t="s">
        <v>74</v>
      </c>
      <c r="BI832">
        <v>9</v>
      </c>
      <c r="BJ832" t="s">
        <v>277</v>
      </c>
      <c r="BK832" t="s">
        <v>170</v>
      </c>
      <c r="BL832" t="s">
        <v>278</v>
      </c>
      <c r="BM832" t="s">
        <v>11329</v>
      </c>
      <c r="BN832" t="s">
        <v>74</v>
      </c>
      <c r="BO832" t="s">
        <v>74</v>
      </c>
      <c r="BP832" t="s">
        <v>74</v>
      </c>
      <c r="BQ832" t="s">
        <v>74</v>
      </c>
      <c r="BR832" t="s">
        <v>107</v>
      </c>
      <c r="BS832" t="s">
        <v>11350</v>
      </c>
      <c r="BT832" t="str">
        <f>HYPERLINK("https%3A%2F%2Fwww.webofscience.com%2Fwos%2Fwoscc%2Ffull-record%2FWOS:000173278100003","View Full Record in Web of Science")</f>
        <v>View Full Record in Web of Science</v>
      </c>
    </row>
    <row r="833" spans="1:72" x14ac:dyDescent="0.15">
      <c r="A833" t="s">
        <v>72</v>
      </c>
      <c r="B833" t="s">
        <v>11351</v>
      </c>
      <c r="C833" t="s">
        <v>74</v>
      </c>
      <c r="D833" t="s">
        <v>74</v>
      </c>
      <c r="E833" t="s">
        <v>74</v>
      </c>
      <c r="F833" t="s">
        <v>11351</v>
      </c>
      <c r="G833" t="s">
        <v>74</v>
      </c>
      <c r="H833" t="s">
        <v>74</v>
      </c>
      <c r="I833" t="s">
        <v>11352</v>
      </c>
      <c r="J833" t="s">
        <v>263</v>
      </c>
      <c r="K833" t="s">
        <v>74</v>
      </c>
      <c r="L833" t="s">
        <v>74</v>
      </c>
      <c r="M833" t="s">
        <v>77</v>
      </c>
      <c r="N833" t="s">
        <v>153</v>
      </c>
      <c r="O833" t="s">
        <v>74</v>
      </c>
      <c r="P833" t="s">
        <v>74</v>
      </c>
      <c r="Q833" t="s">
        <v>74</v>
      </c>
      <c r="R833" t="s">
        <v>74</v>
      </c>
      <c r="S833" t="s">
        <v>74</v>
      </c>
      <c r="T833" t="s">
        <v>74</v>
      </c>
      <c r="U833" t="s">
        <v>11353</v>
      </c>
      <c r="V833" t="s">
        <v>11354</v>
      </c>
      <c r="W833" t="s">
        <v>1950</v>
      </c>
      <c r="X833" t="s">
        <v>1951</v>
      </c>
      <c r="Y833" t="s">
        <v>11355</v>
      </c>
      <c r="Z833" t="s">
        <v>74</v>
      </c>
      <c r="AA833" t="s">
        <v>11356</v>
      </c>
      <c r="AB833" t="s">
        <v>74</v>
      </c>
      <c r="AC833" t="s">
        <v>74</v>
      </c>
      <c r="AD833" t="s">
        <v>74</v>
      </c>
      <c r="AE833" t="s">
        <v>74</v>
      </c>
      <c r="AF833" t="s">
        <v>74</v>
      </c>
      <c r="AG833">
        <v>37</v>
      </c>
      <c r="AH833">
        <v>59</v>
      </c>
      <c r="AI833">
        <v>61</v>
      </c>
      <c r="AJ833">
        <v>0</v>
      </c>
      <c r="AK833">
        <v>17</v>
      </c>
      <c r="AL833" t="s">
        <v>290</v>
      </c>
      <c r="AM833" t="s">
        <v>195</v>
      </c>
      <c r="AN833" t="s">
        <v>291</v>
      </c>
      <c r="AO833" t="s">
        <v>272</v>
      </c>
      <c r="AP833" t="s">
        <v>74</v>
      </c>
      <c r="AQ833" t="s">
        <v>74</v>
      </c>
      <c r="AR833" t="s">
        <v>274</v>
      </c>
      <c r="AS833" t="s">
        <v>275</v>
      </c>
      <c r="AT833" t="s">
        <v>7127</v>
      </c>
      <c r="AU833">
        <v>2002</v>
      </c>
      <c r="AV833">
        <v>25</v>
      </c>
      <c r="AW833">
        <v>1</v>
      </c>
      <c r="AX833" t="s">
        <v>74</v>
      </c>
      <c r="AY833" t="s">
        <v>74</v>
      </c>
      <c r="AZ833" t="s">
        <v>74</v>
      </c>
      <c r="BA833" t="s">
        <v>74</v>
      </c>
      <c r="BB833">
        <v>21</v>
      </c>
      <c r="BC833">
        <v>30</v>
      </c>
      <c r="BD833" t="s">
        <v>74</v>
      </c>
      <c r="BE833" t="s">
        <v>11357</v>
      </c>
      <c r="BF833" t="str">
        <f>HYPERLINK("http://dx.doi.org/10.1007/s003000100307","http://dx.doi.org/10.1007/s003000100307")</f>
        <v>http://dx.doi.org/10.1007/s003000100307</v>
      </c>
      <c r="BG833" t="s">
        <v>74</v>
      </c>
      <c r="BH833" t="s">
        <v>74</v>
      </c>
      <c r="BI833">
        <v>10</v>
      </c>
      <c r="BJ833" t="s">
        <v>277</v>
      </c>
      <c r="BK833" t="s">
        <v>170</v>
      </c>
      <c r="BL833" t="s">
        <v>278</v>
      </c>
      <c r="BM833" t="s">
        <v>11329</v>
      </c>
      <c r="BN833" t="s">
        <v>74</v>
      </c>
      <c r="BO833" t="s">
        <v>74</v>
      </c>
      <c r="BP833" t="s">
        <v>74</v>
      </c>
      <c r="BQ833" t="s">
        <v>74</v>
      </c>
      <c r="BR833" t="s">
        <v>107</v>
      </c>
      <c r="BS833" t="s">
        <v>11358</v>
      </c>
      <c r="BT833" t="str">
        <f>HYPERLINK("https%3A%2F%2Fwww.webofscience.com%2Fwos%2Fwoscc%2Ffull-record%2FWOS:000173278100004","View Full Record in Web of Science")</f>
        <v>View Full Record in Web of Science</v>
      </c>
    </row>
    <row r="834" spans="1:72" x14ac:dyDescent="0.15">
      <c r="A834" t="s">
        <v>72</v>
      </c>
      <c r="B834" t="s">
        <v>11359</v>
      </c>
      <c r="C834" t="s">
        <v>74</v>
      </c>
      <c r="D834" t="s">
        <v>74</v>
      </c>
      <c r="E834" t="s">
        <v>74</v>
      </c>
      <c r="F834" t="s">
        <v>11359</v>
      </c>
      <c r="G834" t="s">
        <v>74</v>
      </c>
      <c r="H834" t="s">
        <v>74</v>
      </c>
      <c r="I834" t="s">
        <v>11360</v>
      </c>
      <c r="J834" t="s">
        <v>263</v>
      </c>
      <c r="K834" t="s">
        <v>74</v>
      </c>
      <c r="L834" t="s">
        <v>74</v>
      </c>
      <c r="M834" t="s">
        <v>77</v>
      </c>
      <c r="N834" t="s">
        <v>153</v>
      </c>
      <c r="O834" t="s">
        <v>74</v>
      </c>
      <c r="P834" t="s">
        <v>74</v>
      </c>
      <c r="Q834" t="s">
        <v>74</v>
      </c>
      <c r="R834" t="s">
        <v>74</v>
      </c>
      <c r="S834" t="s">
        <v>74</v>
      </c>
      <c r="T834" t="s">
        <v>74</v>
      </c>
      <c r="U834" t="s">
        <v>11361</v>
      </c>
      <c r="V834" t="s">
        <v>11362</v>
      </c>
      <c r="W834" t="s">
        <v>2466</v>
      </c>
      <c r="X834" t="s">
        <v>852</v>
      </c>
      <c r="Y834" t="s">
        <v>300</v>
      </c>
      <c r="Z834" t="s">
        <v>11363</v>
      </c>
      <c r="AA834" t="s">
        <v>74</v>
      </c>
      <c r="AB834" t="s">
        <v>74</v>
      </c>
      <c r="AC834" t="s">
        <v>74</v>
      </c>
      <c r="AD834" t="s">
        <v>74</v>
      </c>
      <c r="AE834" t="s">
        <v>74</v>
      </c>
      <c r="AF834" t="s">
        <v>74</v>
      </c>
      <c r="AG834">
        <v>81</v>
      </c>
      <c r="AH834">
        <v>172</v>
      </c>
      <c r="AI834">
        <v>189</v>
      </c>
      <c r="AJ834">
        <v>1</v>
      </c>
      <c r="AK834">
        <v>52</v>
      </c>
      <c r="AL834" t="s">
        <v>194</v>
      </c>
      <c r="AM834" t="s">
        <v>195</v>
      </c>
      <c r="AN834" t="s">
        <v>196</v>
      </c>
      <c r="AO834" t="s">
        <v>272</v>
      </c>
      <c r="AP834" t="s">
        <v>273</v>
      </c>
      <c r="AQ834" t="s">
        <v>74</v>
      </c>
      <c r="AR834" t="s">
        <v>274</v>
      </c>
      <c r="AS834" t="s">
        <v>275</v>
      </c>
      <c r="AT834" t="s">
        <v>7127</v>
      </c>
      <c r="AU834">
        <v>2002</v>
      </c>
      <c r="AV834">
        <v>25</v>
      </c>
      <c r="AW834">
        <v>1</v>
      </c>
      <c r="AX834" t="s">
        <v>74</v>
      </c>
      <c r="AY834" t="s">
        <v>74</v>
      </c>
      <c r="AZ834" t="s">
        <v>74</v>
      </c>
      <c r="BA834" t="s">
        <v>74</v>
      </c>
      <c r="BB834">
        <v>31</v>
      </c>
      <c r="BC834">
        <v>40</v>
      </c>
      <c r="BD834" t="s">
        <v>74</v>
      </c>
      <c r="BE834" t="s">
        <v>11364</v>
      </c>
      <c r="BF834" t="str">
        <f>HYPERLINK("http://dx.doi.org/10.1007/s003000100308","http://dx.doi.org/10.1007/s003000100308")</f>
        <v>http://dx.doi.org/10.1007/s003000100308</v>
      </c>
      <c r="BG834" t="s">
        <v>74</v>
      </c>
      <c r="BH834" t="s">
        <v>74</v>
      </c>
      <c r="BI834">
        <v>10</v>
      </c>
      <c r="BJ834" t="s">
        <v>277</v>
      </c>
      <c r="BK834" t="s">
        <v>170</v>
      </c>
      <c r="BL834" t="s">
        <v>278</v>
      </c>
      <c r="BM834" t="s">
        <v>11329</v>
      </c>
      <c r="BN834" t="s">
        <v>74</v>
      </c>
      <c r="BO834" t="s">
        <v>74</v>
      </c>
      <c r="BP834" t="s">
        <v>74</v>
      </c>
      <c r="BQ834" t="s">
        <v>74</v>
      </c>
      <c r="BR834" t="s">
        <v>107</v>
      </c>
      <c r="BS834" t="s">
        <v>11365</v>
      </c>
      <c r="BT834" t="str">
        <f>HYPERLINK("https%3A%2F%2Fwww.webofscience.com%2Fwos%2Fwoscc%2Ffull-record%2FWOS:000173278100005","View Full Record in Web of Science")</f>
        <v>View Full Record in Web of Science</v>
      </c>
    </row>
    <row r="835" spans="1:72" x14ac:dyDescent="0.15">
      <c r="A835" t="s">
        <v>72</v>
      </c>
      <c r="B835" t="s">
        <v>11366</v>
      </c>
      <c r="C835" t="s">
        <v>74</v>
      </c>
      <c r="D835" t="s">
        <v>74</v>
      </c>
      <c r="E835" t="s">
        <v>74</v>
      </c>
      <c r="F835" t="s">
        <v>11366</v>
      </c>
      <c r="G835" t="s">
        <v>74</v>
      </c>
      <c r="H835" t="s">
        <v>74</v>
      </c>
      <c r="I835" t="s">
        <v>11367</v>
      </c>
      <c r="J835" t="s">
        <v>263</v>
      </c>
      <c r="K835" t="s">
        <v>74</v>
      </c>
      <c r="L835" t="s">
        <v>74</v>
      </c>
      <c r="M835" t="s">
        <v>77</v>
      </c>
      <c r="N835" t="s">
        <v>153</v>
      </c>
      <c r="O835" t="s">
        <v>74</v>
      </c>
      <c r="P835" t="s">
        <v>74</v>
      </c>
      <c r="Q835" t="s">
        <v>74</v>
      </c>
      <c r="R835" t="s">
        <v>74</v>
      </c>
      <c r="S835" t="s">
        <v>74</v>
      </c>
      <c r="T835" t="s">
        <v>74</v>
      </c>
      <c r="U835" t="s">
        <v>11368</v>
      </c>
      <c r="V835" t="s">
        <v>11369</v>
      </c>
      <c r="W835" t="s">
        <v>11370</v>
      </c>
      <c r="X835" t="s">
        <v>7238</v>
      </c>
      <c r="Y835" t="s">
        <v>11371</v>
      </c>
      <c r="Z835" t="s">
        <v>74</v>
      </c>
      <c r="AA835" t="s">
        <v>11372</v>
      </c>
      <c r="AB835" t="s">
        <v>11373</v>
      </c>
      <c r="AC835" t="s">
        <v>74</v>
      </c>
      <c r="AD835" t="s">
        <v>74</v>
      </c>
      <c r="AE835" t="s">
        <v>74</v>
      </c>
      <c r="AF835" t="s">
        <v>74</v>
      </c>
      <c r="AG835">
        <v>37</v>
      </c>
      <c r="AH835">
        <v>39</v>
      </c>
      <c r="AI835">
        <v>44</v>
      </c>
      <c r="AJ835">
        <v>0</v>
      </c>
      <c r="AK835">
        <v>1</v>
      </c>
      <c r="AL835" t="s">
        <v>290</v>
      </c>
      <c r="AM835" t="s">
        <v>195</v>
      </c>
      <c r="AN835" t="s">
        <v>291</v>
      </c>
      <c r="AO835" t="s">
        <v>272</v>
      </c>
      <c r="AP835" t="s">
        <v>74</v>
      </c>
      <c r="AQ835" t="s">
        <v>74</v>
      </c>
      <c r="AR835" t="s">
        <v>274</v>
      </c>
      <c r="AS835" t="s">
        <v>275</v>
      </c>
      <c r="AT835" t="s">
        <v>7127</v>
      </c>
      <c r="AU835">
        <v>2002</v>
      </c>
      <c r="AV835">
        <v>25</v>
      </c>
      <c r="AW835">
        <v>1</v>
      </c>
      <c r="AX835" t="s">
        <v>74</v>
      </c>
      <c r="AY835" t="s">
        <v>74</v>
      </c>
      <c r="AZ835" t="s">
        <v>74</v>
      </c>
      <c r="BA835" t="s">
        <v>74</v>
      </c>
      <c r="BB835">
        <v>41</v>
      </c>
      <c r="BC835">
        <v>48</v>
      </c>
      <c r="BD835" t="s">
        <v>74</v>
      </c>
      <c r="BE835" t="s">
        <v>11374</v>
      </c>
      <c r="BF835" t="str">
        <f>HYPERLINK("http://dx.doi.org/10.1007/s003000100309","http://dx.doi.org/10.1007/s003000100309")</f>
        <v>http://dx.doi.org/10.1007/s003000100309</v>
      </c>
      <c r="BG835" t="s">
        <v>74</v>
      </c>
      <c r="BH835" t="s">
        <v>74</v>
      </c>
      <c r="BI835">
        <v>8</v>
      </c>
      <c r="BJ835" t="s">
        <v>277</v>
      </c>
      <c r="BK835" t="s">
        <v>170</v>
      </c>
      <c r="BL835" t="s">
        <v>278</v>
      </c>
      <c r="BM835" t="s">
        <v>11329</v>
      </c>
      <c r="BN835" t="s">
        <v>74</v>
      </c>
      <c r="BO835" t="s">
        <v>74</v>
      </c>
      <c r="BP835" t="s">
        <v>74</v>
      </c>
      <c r="BQ835" t="s">
        <v>74</v>
      </c>
      <c r="BR835" t="s">
        <v>107</v>
      </c>
      <c r="BS835" t="s">
        <v>11375</v>
      </c>
      <c r="BT835" t="str">
        <f>HYPERLINK("https%3A%2F%2Fwww.webofscience.com%2Fwos%2Fwoscc%2Ffull-record%2FWOS:000173278100006","View Full Record in Web of Science")</f>
        <v>View Full Record in Web of Science</v>
      </c>
    </row>
    <row r="836" spans="1:72" x14ac:dyDescent="0.15">
      <c r="A836" t="s">
        <v>72</v>
      </c>
      <c r="B836" t="s">
        <v>11376</v>
      </c>
      <c r="C836" t="s">
        <v>74</v>
      </c>
      <c r="D836" t="s">
        <v>74</v>
      </c>
      <c r="E836" t="s">
        <v>74</v>
      </c>
      <c r="F836" t="s">
        <v>11376</v>
      </c>
      <c r="G836" t="s">
        <v>74</v>
      </c>
      <c r="H836" t="s">
        <v>74</v>
      </c>
      <c r="I836" t="s">
        <v>11377</v>
      </c>
      <c r="J836" t="s">
        <v>263</v>
      </c>
      <c r="K836" t="s">
        <v>74</v>
      </c>
      <c r="L836" t="s">
        <v>74</v>
      </c>
      <c r="M836" t="s">
        <v>77</v>
      </c>
      <c r="N836" t="s">
        <v>153</v>
      </c>
      <c r="O836" t="s">
        <v>74</v>
      </c>
      <c r="P836" t="s">
        <v>74</v>
      </c>
      <c r="Q836" t="s">
        <v>74</v>
      </c>
      <c r="R836" t="s">
        <v>74</v>
      </c>
      <c r="S836" t="s">
        <v>74</v>
      </c>
      <c r="T836" t="s">
        <v>74</v>
      </c>
      <c r="U836" t="s">
        <v>11378</v>
      </c>
      <c r="V836" t="s">
        <v>11379</v>
      </c>
      <c r="W836" t="s">
        <v>11380</v>
      </c>
      <c r="X836" t="s">
        <v>11381</v>
      </c>
      <c r="Y836" t="s">
        <v>11382</v>
      </c>
      <c r="Z836" t="s">
        <v>11383</v>
      </c>
      <c r="AA836" t="s">
        <v>11384</v>
      </c>
      <c r="AB836" t="s">
        <v>11385</v>
      </c>
      <c r="AC836" t="s">
        <v>74</v>
      </c>
      <c r="AD836" t="s">
        <v>74</v>
      </c>
      <c r="AE836" t="s">
        <v>74</v>
      </c>
      <c r="AF836" t="s">
        <v>74</v>
      </c>
      <c r="AG836">
        <v>55</v>
      </c>
      <c r="AH836">
        <v>66</v>
      </c>
      <c r="AI836">
        <v>75</v>
      </c>
      <c r="AJ836">
        <v>0</v>
      </c>
      <c r="AK836">
        <v>22</v>
      </c>
      <c r="AL836" t="s">
        <v>194</v>
      </c>
      <c r="AM836" t="s">
        <v>195</v>
      </c>
      <c r="AN836" t="s">
        <v>196</v>
      </c>
      <c r="AO836" t="s">
        <v>272</v>
      </c>
      <c r="AP836" t="s">
        <v>273</v>
      </c>
      <c r="AQ836" t="s">
        <v>74</v>
      </c>
      <c r="AR836" t="s">
        <v>274</v>
      </c>
      <c r="AS836" t="s">
        <v>275</v>
      </c>
      <c r="AT836" t="s">
        <v>7127</v>
      </c>
      <c r="AU836">
        <v>2002</v>
      </c>
      <c r="AV836">
        <v>25</v>
      </c>
      <c r="AW836">
        <v>1</v>
      </c>
      <c r="AX836" t="s">
        <v>74</v>
      </c>
      <c r="AY836" t="s">
        <v>74</v>
      </c>
      <c r="AZ836" t="s">
        <v>74</v>
      </c>
      <c r="BA836" t="s">
        <v>74</v>
      </c>
      <c r="BB836">
        <v>49</v>
      </c>
      <c r="BC836">
        <v>57</v>
      </c>
      <c r="BD836" t="s">
        <v>74</v>
      </c>
      <c r="BE836" t="s">
        <v>11386</v>
      </c>
      <c r="BF836" t="str">
        <f>HYPERLINK("http://dx.doi.org/10.1007/s003000100310","http://dx.doi.org/10.1007/s003000100310")</f>
        <v>http://dx.doi.org/10.1007/s003000100310</v>
      </c>
      <c r="BG836" t="s">
        <v>74</v>
      </c>
      <c r="BH836" t="s">
        <v>74</v>
      </c>
      <c r="BI836">
        <v>9</v>
      </c>
      <c r="BJ836" t="s">
        <v>277</v>
      </c>
      <c r="BK836" t="s">
        <v>170</v>
      </c>
      <c r="BL836" t="s">
        <v>278</v>
      </c>
      <c r="BM836" t="s">
        <v>11329</v>
      </c>
      <c r="BN836" t="s">
        <v>74</v>
      </c>
      <c r="BO836" t="s">
        <v>74</v>
      </c>
      <c r="BP836" t="s">
        <v>74</v>
      </c>
      <c r="BQ836" t="s">
        <v>74</v>
      </c>
      <c r="BR836" t="s">
        <v>107</v>
      </c>
      <c r="BS836" t="s">
        <v>11387</v>
      </c>
      <c r="BT836" t="str">
        <f>HYPERLINK("https%3A%2F%2Fwww.webofscience.com%2Fwos%2Fwoscc%2Ffull-record%2FWOS:000173278100007","View Full Record in Web of Science")</f>
        <v>View Full Record in Web of Science</v>
      </c>
    </row>
    <row r="837" spans="1:72" x14ac:dyDescent="0.15">
      <c r="A837" t="s">
        <v>72</v>
      </c>
      <c r="B837" t="s">
        <v>11388</v>
      </c>
      <c r="C837" t="s">
        <v>74</v>
      </c>
      <c r="D837" t="s">
        <v>74</v>
      </c>
      <c r="E837" t="s">
        <v>74</v>
      </c>
      <c r="F837" t="s">
        <v>11388</v>
      </c>
      <c r="G837" t="s">
        <v>74</v>
      </c>
      <c r="H837" t="s">
        <v>74</v>
      </c>
      <c r="I837" t="s">
        <v>11389</v>
      </c>
      <c r="J837" t="s">
        <v>263</v>
      </c>
      <c r="K837" t="s">
        <v>74</v>
      </c>
      <c r="L837" t="s">
        <v>74</v>
      </c>
      <c r="M837" t="s">
        <v>77</v>
      </c>
      <c r="N837" t="s">
        <v>153</v>
      </c>
      <c r="O837" t="s">
        <v>74</v>
      </c>
      <c r="P837" t="s">
        <v>74</v>
      </c>
      <c r="Q837" t="s">
        <v>74</v>
      </c>
      <c r="R837" t="s">
        <v>74</v>
      </c>
      <c r="S837" t="s">
        <v>74</v>
      </c>
      <c r="T837" t="s">
        <v>74</v>
      </c>
      <c r="U837" t="s">
        <v>11390</v>
      </c>
      <c r="V837" t="s">
        <v>11391</v>
      </c>
      <c r="W837" t="s">
        <v>11392</v>
      </c>
      <c r="X837" t="s">
        <v>11393</v>
      </c>
      <c r="Y837" t="s">
        <v>11394</v>
      </c>
      <c r="Z837" t="s">
        <v>74</v>
      </c>
      <c r="AA837" t="s">
        <v>74</v>
      </c>
      <c r="AB837" t="s">
        <v>11395</v>
      </c>
      <c r="AC837" t="s">
        <v>74</v>
      </c>
      <c r="AD837" t="s">
        <v>74</v>
      </c>
      <c r="AE837" t="s">
        <v>74</v>
      </c>
      <c r="AF837" t="s">
        <v>74</v>
      </c>
      <c r="AG837">
        <v>35</v>
      </c>
      <c r="AH837">
        <v>20</v>
      </c>
      <c r="AI837">
        <v>23</v>
      </c>
      <c r="AJ837">
        <v>0</v>
      </c>
      <c r="AK837">
        <v>5</v>
      </c>
      <c r="AL837" t="s">
        <v>290</v>
      </c>
      <c r="AM837" t="s">
        <v>195</v>
      </c>
      <c r="AN837" t="s">
        <v>291</v>
      </c>
      <c r="AO837" t="s">
        <v>272</v>
      </c>
      <c r="AP837" t="s">
        <v>74</v>
      </c>
      <c r="AQ837" t="s">
        <v>74</v>
      </c>
      <c r="AR837" t="s">
        <v>274</v>
      </c>
      <c r="AS837" t="s">
        <v>275</v>
      </c>
      <c r="AT837" t="s">
        <v>7127</v>
      </c>
      <c r="AU837">
        <v>2002</v>
      </c>
      <c r="AV837">
        <v>25</v>
      </c>
      <c r="AW837">
        <v>1</v>
      </c>
      <c r="AX837" t="s">
        <v>74</v>
      </c>
      <c r="AY837" t="s">
        <v>74</v>
      </c>
      <c r="AZ837" t="s">
        <v>74</v>
      </c>
      <c r="BA837" t="s">
        <v>74</v>
      </c>
      <c r="BB837">
        <v>58</v>
      </c>
      <c r="BC837">
        <v>64</v>
      </c>
      <c r="BD837" t="s">
        <v>74</v>
      </c>
      <c r="BE837" t="s">
        <v>11396</v>
      </c>
      <c r="BF837" t="str">
        <f>HYPERLINK("http://dx.doi.org/10.1007/s003000100311","http://dx.doi.org/10.1007/s003000100311")</f>
        <v>http://dx.doi.org/10.1007/s003000100311</v>
      </c>
      <c r="BG837" t="s">
        <v>74</v>
      </c>
      <c r="BH837" t="s">
        <v>74</v>
      </c>
      <c r="BI837">
        <v>7</v>
      </c>
      <c r="BJ837" t="s">
        <v>277</v>
      </c>
      <c r="BK837" t="s">
        <v>170</v>
      </c>
      <c r="BL837" t="s">
        <v>278</v>
      </c>
      <c r="BM837" t="s">
        <v>11329</v>
      </c>
      <c r="BN837" t="s">
        <v>74</v>
      </c>
      <c r="BO837" t="s">
        <v>74</v>
      </c>
      <c r="BP837" t="s">
        <v>74</v>
      </c>
      <c r="BQ837" t="s">
        <v>74</v>
      </c>
      <c r="BR837" t="s">
        <v>107</v>
      </c>
      <c r="BS837" t="s">
        <v>11397</v>
      </c>
      <c r="BT837" t="str">
        <f>HYPERLINK("https%3A%2F%2Fwww.webofscience.com%2Fwos%2Fwoscc%2Ffull-record%2FWOS:000173278100008","View Full Record in Web of Science")</f>
        <v>View Full Record in Web of Science</v>
      </c>
    </row>
    <row r="838" spans="1:72" x14ac:dyDescent="0.15">
      <c r="A838" t="s">
        <v>72</v>
      </c>
      <c r="B838" t="s">
        <v>11398</v>
      </c>
      <c r="C838" t="s">
        <v>74</v>
      </c>
      <c r="D838" t="s">
        <v>74</v>
      </c>
      <c r="E838" t="s">
        <v>74</v>
      </c>
      <c r="F838" t="s">
        <v>11398</v>
      </c>
      <c r="G838" t="s">
        <v>74</v>
      </c>
      <c r="H838" t="s">
        <v>74</v>
      </c>
      <c r="I838" t="s">
        <v>11399</v>
      </c>
      <c r="J838" t="s">
        <v>263</v>
      </c>
      <c r="K838" t="s">
        <v>74</v>
      </c>
      <c r="L838" t="s">
        <v>74</v>
      </c>
      <c r="M838" t="s">
        <v>77</v>
      </c>
      <c r="N838" t="s">
        <v>153</v>
      </c>
      <c r="O838" t="s">
        <v>74</v>
      </c>
      <c r="P838" t="s">
        <v>74</v>
      </c>
      <c r="Q838" t="s">
        <v>74</v>
      </c>
      <c r="R838" t="s">
        <v>74</v>
      </c>
      <c r="S838" t="s">
        <v>74</v>
      </c>
      <c r="T838" t="s">
        <v>74</v>
      </c>
      <c r="U838" t="s">
        <v>11400</v>
      </c>
      <c r="V838" t="s">
        <v>11401</v>
      </c>
      <c r="W838" t="s">
        <v>11402</v>
      </c>
      <c r="X838" t="s">
        <v>11403</v>
      </c>
      <c r="Y838" t="s">
        <v>11404</v>
      </c>
      <c r="Z838" t="s">
        <v>74</v>
      </c>
      <c r="AA838" t="s">
        <v>74</v>
      </c>
      <c r="AB838" t="s">
        <v>10769</v>
      </c>
      <c r="AC838" t="s">
        <v>74</v>
      </c>
      <c r="AD838" t="s">
        <v>74</v>
      </c>
      <c r="AE838" t="s">
        <v>74</v>
      </c>
      <c r="AF838" t="s">
        <v>74</v>
      </c>
      <c r="AG838">
        <v>43</v>
      </c>
      <c r="AH838">
        <v>24</v>
      </c>
      <c r="AI838">
        <v>27</v>
      </c>
      <c r="AJ838">
        <v>1</v>
      </c>
      <c r="AK838">
        <v>8</v>
      </c>
      <c r="AL838" t="s">
        <v>290</v>
      </c>
      <c r="AM838" t="s">
        <v>195</v>
      </c>
      <c r="AN838" t="s">
        <v>291</v>
      </c>
      <c r="AO838" t="s">
        <v>272</v>
      </c>
      <c r="AP838" t="s">
        <v>74</v>
      </c>
      <c r="AQ838" t="s">
        <v>74</v>
      </c>
      <c r="AR838" t="s">
        <v>274</v>
      </c>
      <c r="AS838" t="s">
        <v>275</v>
      </c>
      <c r="AT838" t="s">
        <v>7127</v>
      </c>
      <c r="AU838">
        <v>2002</v>
      </c>
      <c r="AV838">
        <v>25</v>
      </c>
      <c r="AW838">
        <v>1</v>
      </c>
      <c r="AX838" t="s">
        <v>74</v>
      </c>
      <c r="AY838" t="s">
        <v>74</v>
      </c>
      <c r="AZ838" t="s">
        <v>74</v>
      </c>
      <c r="BA838" t="s">
        <v>74</v>
      </c>
      <c r="BB838">
        <v>65</v>
      </c>
      <c r="BC838">
        <v>71</v>
      </c>
      <c r="BD838" t="s">
        <v>74</v>
      </c>
      <c r="BE838" t="s">
        <v>11405</v>
      </c>
      <c r="BF838" t="str">
        <f>HYPERLINK("http://dx.doi.org/10.1007/s003000100312","http://dx.doi.org/10.1007/s003000100312")</f>
        <v>http://dx.doi.org/10.1007/s003000100312</v>
      </c>
      <c r="BG838" t="s">
        <v>74</v>
      </c>
      <c r="BH838" t="s">
        <v>74</v>
      </c>
      <c r="BI838">
        <v>7</v>
      </c>
      <c r="BJ838" t="s">
        <v>277</v>
      </c>
      <c r="BK838" t="s">
        <v>170</v>
      </c>
      <c r="BL838" t="s">
        <v>278</v>
      </c>
      <c r="BM838" t="s">
        <v>11329</v>
      </c>
      <c r="BN838" t="s">
        <v>74</v>
      </c>
      <c r="BO838" t="s">
        <v>74</v>
      </c>
      <c r="BP838" t="s">
        <v>74</v>
      </c>
      <c r="BQ838" t="s">
        <v>74</v>
      </c>
      <c r="BR838" t="s">
        <v>107</v>
      </c>
      <c r="BS838" t="s">
        <v>11406</v>
      </c>
      <c r="BT838" t="str">
        <f>HYPERLINK("https%3A%2F%2Fwww.webofscience.com%2Fwos%2Fwoscc%2Ffull-record%2FWOS:000173278100009","View Full Record in Web of Science")</f>
        <v>View Full Record in Web of Science</v>
      </c>
    </row>
    <row r="839" spans="1:72" x14ac:dyDescent="0.15">
      <c r="A839" t="s">
        <v>72</v>
      </c>
      <c r="B839" t="s">
        <v>11407</v>
      </c>
      <c r="C839" t="s">
        <v>74</v>
      </c>
      <c r="D839" t="s">
        <v>74</v>
      </c>
      <c r="E839" t="s">
        <v>74</v>
      </c>
      <c r="F839" t="s">
        <v>11407</v>
      </c>
      <c r="G839" t="s">
        <v>74</v>
      </c>
      <c r="H839" t="s">
        <v>74</v>
      </c>
      <c r="I839" t="s">
        <v>11408</v>
      </c>
      <c r="J839" t="s">
        <v>263</v>
      </c>
      <c r="K839" t="s">
        <v>74</v>
      </c>
      <c r="L839" t="s">
        <v>74</v>
      </c>
      <c r="M839" t="s">
        <v>77</v>
      </c>
      <c r="N839" t="s">
        <v>153</v>
      </c>
      <c r="O839" t="s">
        <v>74</v>
      </c>
      <c r="P839" t="s">
        <v>74</v>
      </c>
      <c r="Q839" t="s">
        <v>74</v>
      </c>
      <c r="R839" t="s">
        <v>74</v>
      </c>
      <c r="S839" t="s">
        <v>74</v>
      </c>
      <c r="T839" t="s">
        <v>74</v>
      </c>
      <c r="U839" t="s">
        <v>11409</v>
      </c>
      <c r="V839" t="s">
        <v>11410</v>
      </c>
      <c r="W839" t="s">
        <v>11411</v>
      </c>
      <c r="X839" t="s">
        <v>11412</v>
      </c>
      <c r="Y839" t="s">
        <v>7113</v>
      </c>
      <c r="Z839" t="s">
        <v>74</v>
      </c>
      <c r="AA839" t="s">
        <v>3142</v>
      </c>
      <c r="AB839" t="s">
        <v>3143</v>
      </c>
      <c r="AC839" t="s">
        <v>74</v>
      </c>
      <c r="AD839" t="s">
        <v>74</v>
      </c>
      <c r="AE839" t="s">
        <v>74</v>
      </c>
      <c r="AF839" t="s">
        <v>74</v>
      </c>
      <c r="AG839">
        <v>44</v>
      </c>
      <c r="AH839">
        <v>34</v>
      </c>
      <c r="AI839">
        <v>36</v>
      </c>
      <c r="AJ839">
        <v>0</v>
      </c>
      <c r="AK839">
        <v>6</v>
      </c>
      <c r="AL839" t="s">
        <v>290</v>
      </c>
      <c r="AM839" t="s">
        <v>195</v>
      </c>
      <c r="AN839" t="s">
        <v>291</v>
      </c>
      <c r="AO839" t="s">
        <v>272</v>
      </c>
      <c r="AP839" t="s">
        <v>74</v>
      </c>
      <c r="AQ839" t="s">
        <v>74</v>
      </c>
      <c r="AR839" t="s">
        <v>274</v>
      </c>
      <c r="AS839" t="s">
        <v>275</v>
      </c>
      <c r="AT839" t="s">
        <v>7127</v>
      </c>
      <c r="AU839">
        <v>2002</v>
      </c>
      <c r="AV839">
        <v>25</v>
      </c>
      <c r="AW839">
        <v>1</v>
      </c>
      <c r="AX839" t="s">
        <v>74</v>
      </c>
      <c r="AY839" t="s">
        <v>74</v>
      </c>
      <c r="AZ839" t="s">
        <v>74</v>
      </c>
      <c r="BA839" t="s">
        <v>74</v>
      </c>
      <c r="BB839">
        <v>72</v>
      </c>
      <c r="BC839">
        <v>80</v>
      </c>
      <c r="BD839" t="s">
        <v>74</v>
      </c>
      <c r="BE839" t="s">
        <v>11413</v>
      </c>
      <c r="BF839" t="str">
        <f>HYPERLINK("http://dx.doi.org/10.1007/s003000100314","http://dx.doi.org/10.1007/s003000100314")</f>
        <v>http://dx.doi.org/10.1007/s003000100314</v>
      </c>
      <c r="BG839" t="s">
        <v>74</v>
      </c>
      <c r="BH839" t="s">
        <v>74</v>
      </c>
      <c r="BI839">
        <v>9</v>
      </c>
      <c r="BJ839" t="s">
        <v>277</v>
      </c>
      <c r="BK839" t="s">
        <v>170</v>
      </c>
      <c r="BL839" t="s">
        <v>278</v>
      </c>
      <c r="BM839" t="s">
        <v>11329</v>
      </c>
      <c r="BN839" t="s">
        <v>74</v>
      </c>
      <c r="BO839" t="s">
        <v>74</v>
      </c>
      <c r="BP839" t="s">
        <v>74</v>
      </c>
      <c r="BQ839" t="s">
        <v>74</v>
      </c>
      <c r="BR839" t="s">
        <v>107</v>
      </c>
      <c r="BS839" t="s">
        <v>11414</v>
      </c>
      <c r="BT839" t="str">
        <f>HYPERLINK("https%3A%2F%2Fwww.webofscience.com%2Fwos%2Fwoscc%2Ffull-record%2FWOS:000173278100010","View Full Record in Web of Science")</f>
        <v>View Full Record in Web of Science</v>
      </c>
    </row>
    <row r="840" spans="1:72" x14ac:dyDescent="0.15">
      <c r="A840" t="s">
        <v>72</v>
      </c>
      <c r="B840" t="s">
        <v>11415</v>
      </c>
      <c r="C840" t="s">
        <v>74</v>
      </c>
      <c r="D840" t="s">
        <v>74</v>
      </c>
      <c r="E840" t="s">
        <v>74</v>
      </c>
      <c r="F840" t="s">
        <v>11415</v>
      </c>
      <c r="G840" t="s">
        <v>74</v>
      </c>
      <c r="H840" t="s">
        <v>74</v>
      </c>
      <c r="I840" t="s">
        <v>11416</v>
      </c>
      <c r="J840" t="s">
        <v>11417</v>
      </c>
      <c r="K840" t="s">
        <v>74</v>
      </c>
      <c r="L840" t="s">
        <v>74</v>
      </c>
      <c r="M840" t="s">
        <v>77</v>
      </c>
      <c r="N840" t="s">
        <v>153</v>
      </c>
      <c r="O840" t="s">
        <v>74</v>
      </c>
      <c r="P840" t="s">
        <v>74</v>
      </c>
      <c r="Q840" t="s">
        <v>74</v>
      </c>
      <c r="R840" t="s">
        <v>74</v>
      </c>
      <c r="S840" t="s">
        <v>74</v>
      </c>
      <c r="T840" t="s">
        <v>74</v>
      </c>
      <c r="U840" t="s">
        <v>11418</v>
      </c>
      <c r="V840" t="s">
        <v>11419</v>
      </c>
      <c r="W840" t="s">
        <v>11420</v>
      </c>
      <c r="X840" t="s">
        <v>429</v>
      </c>
      <c r="Y840" t="s">
        <v>11421</v>
      </c>
      <c r="Z840" t="s">
        <v>74</v>
      </c>
      <c r="AA840" t="s">
        <v>11422</v>
      </c>
      <c r="AB840" t="s">
        <v>11423</v>
      </c>
      <c r="AC840" t="s">
        <v>74</v>
      </c>
      <c r="AD840" t="s">
        <v>74</v>
      </c>
      <c r="AE840" t="s">
        <v>74</v>
      </c>
      <c r="AF840" t="s">
        <v>74</v>
      </c>
      <c r="AG840">
        <v>41</v>
      </c>
      <c r="AH840">
        <v>12</v>
      </c>
      <c r="AI840">
        <v>15</v>
      </c>
      <c r="AJ840">
        <v>0</v>
      </c>
      <c r="AK840">
        <v>10</v>
      </c>
      <c r="AL840" t="s">
        <v>11424</v>
      </c>
      <c r="AM840" t="s">
        <v>11425</v>
      </c>
      <c r="AN840" t="s">
        <v>11426</v>
      </c>
      <c r="AO840" t="s">
        <v>11427</v>
      </c>
      <c r="AP840" t="s">
        <v>74</v>
      </c>
      <c r="AQ840" t="s">
        <v>74</v>
      </c>
      <c r="AR840" t="s">
        <v>11428</v>
      </c>
      <c r="AS840" t="s">
        <v>11429</v>
      </c>
      <c r="AT840" t="s">
        <v>74</v>
      </c>
      <c r="AU840">
        <v>2002</v>
      </c>
      <c r="AV840">
        <v>21</v>
      </c>
      <c r="AW840">
        <v>1</v>
      </c>
      <c r="AX840" t="s">
        <v>74</v>
      </c>
      <c r="AY840" t="s">
        <v>74</v>
      </c>
      <c r="AZ840" t="s">
        <v>74</v>
      </c>
      <c r="BA840" t="s">
        <v>74</v>
      </c>
      <c r="BB840">
        <v>63</v>
      </c>
      <c r="BC840">
        <v>71</v>
      </c>
      <c r="BD840" t="s">
        <v>74</v>
      </c>
      <c r="BE840" t="s">
        <v>11430</v>
      </c>
      <c r="BF840" t="str">
        <f>HYPERLINK("http://dx.doi.org/10.1111/j.1751-8369.2002.tb00067.x","http://dx.doi.org/10.1111/j.1751-8369.2002.tb00067.x")</f>
        <v>http://dx.doi.org/10.1111/j.1751-8369.2002.tb00067.x</v>
      </c>
      <c r="BG840" t="s">
        <v>74</v>
      </c>
      <c r="BH840" t="s">
        <v>74</v>
      </c>
      <c r="BI840">
        <v>9</v>
      </c>
      <c r="BJ840" t="s">
        <v>11431</v>
      </c>
      <c r="BK840" t="s">
        <v>170</v>
      </c>
      <c r="BL840" t="s">
        <v>11432</v>
      </c>
      <c r="BM840" t="s">
        <v>11433</v>
      </c>
      <c r="BN840" t="s">
        <v>74</v>
      </c>
      <c r="BO840" t="s">
        <v>74</v>
      </c>
      <c r="BP840" t="s">
        <v>74</v>
      </c>
      <c r="BQ840" t="s">
        <v>74</v>
      </c>
      <c r="BR840" t="s">
        <v>107</v>
      </c>
      <c r="BS840" t="s">
        <v>11434</v>
      </c>
      <c r="BT840" t="str">
        <f>HYPERLINK("https%3A%2F%2Fwww.webofscience.com%2Fwos%2Fwoscc%2Ffull-record%2FWOS:000176644200005","View Full Record in Web of Science")</f>
        <v>View Full Record in Web of Science</v>
      </c>
    </row>
    <row r="841" spans="1:72" x14ac:dyDescent="0.15">
      <c r="A841" t="s">
        <v>72</v>
      </c>
      <c r="B841" t="s">
        <v>11435</v>
      </c>
      <c r="C841" t="s">
        <v>74</v>
      </c>
      <c r="D841" t="s">
        <v>74</v>
      </c>
      <c r="E841" t="s">
        <v>74</v>
      </c>
      <c r="F841" t="s">
        <v>11435</v>
      </c>
      <c r="G841" t="s">
        <v>74</v>
      </c>
      <c r="H841" t="s">
        <v>74</v>
      </c>
      <c r="I841" t="s">
        <v>11436</v>
      </c>
      <c r="J841" t="s">
        <v>11417</v>
      </c>
      <c r="K841" t="s">
        <v>74</v>
      </c>
      <c r="L841" t="s">
        <v>74</v>
      </c>
      <c r="M841" t="s">
        <v>77</v>
      </c>
      <c r="N841" t="s">
        <v>78</v>
      </c>
      <c r="O841" t="s">
        <v>11437</v>
      </c>
      <c r="P841" t="s">
        <v>11438</v>
      </c>
      <c r="Q841" t="s">
        <v>11439</v>
      </c>
      <c r="R841" t="s">
        <v>74</v>
      </c>
      <c r="S841" t="s">
        <v>74</v>
      </c>
      <c r="T841" t="s">
        <v>74</v>
      </c>
      <c r="U841" t="s">
        <v>11440</v>
      </c>
      <c r="V841" t="s">
        <v>11441</v>
      </c>
      <c r="W841" t="s">
        <v>11442</v>
      </c>
      <c r="X841" t="s">
        <v>11443</v>
      </c>
      <c r="Y841" t="s">
        <v>11444</v>
      </c>
      <c r="Z841" t="s">
        <v>74</v>
      </c>
      <c r="AA841" t="s">
        <v>11445</v>
      </c>
      <c r="AB841" t="s">
        <v>11446</v>
      </c>
      <c r="AC841" t="s">
        <v>74</v>
      </c>
      <c r="AD841" t="s">
        <v>74</v>
      </c>
      <c r="AE841" t="s">
        <v>74</v>
      </c>
      <c r="AF841" t="s">
        <v>74</v>
      </c>
      <c r="AG841">
        <v>63</v>
      </c>
      <c r="AH841">
        <v>17</v>
      </c>
      <c r="AI841">
        <v>18</v>
      </c>
      <c r="AJ841">
        <v>1</v>
      </c>
      <c r="AK841">
        <v>8</v>
      </c>
      <c r="AL841" t="s">
        <v>11424</v>
      </c>
      <c r="AM841" t="s">
        <v>11425</v>
      </c>
      <c r="AN841" t="s">
        <v>11426</v>
      </c>
      <c r="AO841" t="s">
        <v>11427</v>
      </c>
      <c r="AP841" t="s">
        <v>74</v>
      </c>
      <c r="AQ841" t="s">
        <v>74</v>
      </c>
      <c r="AR841" t="s">
        <v>11428</v>
      </c>
      <c r="AS841" t="s">
        <v>11429</v>
      </c>
      <c r="AT841" t="s">
        <v>74</v>
      </c>
      <c r="AU841">
        <v>2002</v>
      </c>
      <c r="AV841">
        <v>21</v>
      </c>
      <c r="AW841">
        <v>2</v>
      </c>
      <c r="AX841" t="s">
        <v>74</v>
      </c>
      <c r="AY841" t="s">
        <v>74</v>
      </c>
      <c r="AZ841" t="s">
        <v>74</v>
      </c>
      <c r="BA841" t="s">
        <v>74</v>
      </c>
      <c r="BB841">
        <v>227</v>
      </c>
      <c r="BC841">
        <v>234</v>
      </c>
      <c r="BD841" t="s">
        <v>74</v>
      </c>
      <c r="BE841" t="s">
        <v>11447</v>
      </c>
      <c r="BF841" t="str">
        <f>HYPERLINK("http://dx.doi.org/10.1111/j.1751-8369.2002.tb00075.x","http://dx.doi.org/10.1111/j.1751-8369.2002.tb00075.x")</f>
        <v>http://dx.doi.org/10.1111/j.1751-8369.2002.tb00075.x</v>
      </c>
      <c r="BG841" t="s">
        <v>74</v>
      </c>
      <c r="BH841" t="s">
        <v>74</v>
      </c>
      <c r="BI841">
        <v>8</v>
      </c>
      <c r="BJ841" t="s">
        <v>11431</v>
      </c>
      <c r="BK841" t="s">
        <v>744</v>
      </c>
      <c r="BL841" t="s">
        <v>11432</v>
      </c>
      <c r="BM841" t="s">
        <v>11448</v>
      </c>
      <c r="BN841" t="s">
        <v>74</v>
      </c>
      <c r="BO841" t="s">
        <v>74</v>
      </c>
      <c r="BP841" t="s">
        <v>74</v>
      </c>
      <c r="BQ841" t="s">
        <v>74</v>
      </c>
      <c r="BR841" t="s">
        <v>107</v>
      </c>
      <c r="BS841" t="s">
        <v>11449</v>
      </c>
      <c r="BT841" t="str">
        <f>HYPERLINK("https%3A%2F%2Fwww.webofscience.com%2Fwos%2Fwoscc%2Ffull-record%2FWOS:000180140700003","View Full Record in Web of Science")</f>
        <v>View Full Record in Web of Science</v>
      </c>
    </row>
    <row r="842" spans="1:72" x14ac:dyDescent="0.15">
      <c r="A842" t="s">
        <v>72</v>
      </c>
      <c r="B842" t="s">
        <v>11450</v>
      </c>
      <c r="C842" t="s">
        <v>74</v>
      </c>
      <c r="D842" t="s">
        <v>74</v>
      </c>
      <c r="E842" t="s">
        <v>74</v>
      </c>
      <c r="F842" t="s">
        <v>11450</v>
      </c>
      <c r="G842" t="s">
        <v>74</v>
      </c>
      <c r="H842" t="s">
        <v>74</v>
      </c>
      <c r="I842" t="s">
        <v>11451</v>
      </c>
      <c r="J842" t="s">
        <v>11452</v>
      </c>
      <c r="K842" t="s">
        <v>74</v>
      </c>
      <c r="L842" t="s">
        <v>74</v>
      </c>
      <c r="M842" t="s">
        <v>77</v>
      </c>
      <c r="N842" t="s">
        <v>153</v>
      </c>
      <c r="O842" t="s">
        <v>74</v>
      </c>
      <c r="P842" t="s">
        <v>74</v>
      </c>
      <c r="Q842" t="s">
        <v>74</v>
      </c>
      <c r="R842" t="s">
        <v>74</v>
      </c>
      <c r="S842" t="s">
        <v>74</v>
      </c>
      <c r="T842" t="s">
        <v>11453</v>
      </c>
      <c r="U842" t="s">
        <v>11454</v>
      </c>
      <c r="V842" t="s">
        <v>11455</v>
      </c>
      <c r="W842" t="s">
        <v>11456</v>
      </c>
      <c r="X842" t="s">
        <v>4112</v>
      </c>
      <c r="Y842" t="s">
        <v>11457</v>
      </c>
      <c r="Z842" t="s">
        <v>11458</v>
      </c>
      <c r="AA842" t="s">
        <v>74</v>
      </c>
      <c r="AB842" t="s">
        <v>74</v>
      </c>
      <c r="AC842" t="s">
        <v>74</v>
      </c>
      <c r="AD842" t="s">
        <v>74</v>
      </c>
      <c r="AE842" t="s">
        <v>74</v>
      </c>
      <c r="AF842" t="s">
        <v>74</v>
      </c>
      <c r="AG842">
        <v>59</v>
      </c>
      <c r="AH842">
        <v>17</v>
      </c>
      <c r="AI842">
        <v>21</v>
      </c>
      <c r="AJ842">
        <v>0</v>
      </c>
      <c r="AK842">
        <v>6</v>
      </c>
      <c r="AL842" t="s">
        <v>11459</v>
      </c>
      <c r="AM842" t="s">
        <v>11460</v>
      </c>
      <c r="AN842" t="s">
        <v>11461</v>
      </c>
      <c r="AO842" t="s">
        <v>11462</v>
      </c>
      <c r="AP842" t="s">
        <v>74</v>
      </c>
      <c r="AQ842" t="s">
        <v>74</v>
      </c>
      <c r="AR842" t="s">
        <v>11463</v>
      </c>
      <c r="AS842" t="s">
        <v>11464</v>
      </c>
      <c r="AT842" t="s">
        <v>74</v>
      </c>
      <c r="AU842">
        <v>2002</v>
      </c>
      <c r="AV842">
        <v>50</v>
      </c>
      <c r="AW842">
        <v>1</v>
      </c>
      <c r="AX842" t="s">
        <v>74</v>
      </c>
      <c r="AY842" t="s">
        <v>74</v>
      </c>
      <c r="AZ842" t="s">
        <v>74</v>
      </c>
      <c r="BA842" t="s">
        <v>74</v>
      </c>
      <c r="BB842">
        <v>79</v>
      </c>
      <c r="BC842">
        <v>91</v>
      </c>
      <c r="BD842" t="s">
        <v>74</v>
      </c>
      <c r="BE842" t="s">
        <v>74</v>
      </c>
      <c r="BF842" t="s">
        <v>74</v>
      </c>
      <c r="BG842" t="s">
        <v>74</v>
      </c>
      <c r="BH842" t="s">
        <v>74</v>
      </c>
      <c r="BI842">
        <v>13</v>
      </c>
      <c r="BJ842" t="s">
        <v>3878</v>
      </c>
      <c r="BK842" t="s">
        <v>170</v>
      </c>
      <c r="BL842" t="s">
        <v>1020</v>
      </c>
      <c r="BM842" t="s">
        <v>11465</v>
      </c>
      <c r="BN842" t="s">
        <v>74</v>
      </c>
      <c r="BO842" t="s">
        <v>74</v>
      </c>
      <c r="BP842" t="s">
        <v>74</v>
      </c>
      <c r="BQ842" t="s">
        <v>74</v>
      </c>
      <c r="BR842" t="s">
        <v>107</v>
      </c>
      <c r="BS842" t="s">
        <v>11466</v>
      </c>
      <c r="BT842" t="str">
        <f>HYPERLINK("https%3A%2F%2Fwww.webofscience.com%2Fwos%2Fwoscc%2Ffull-record%2FWOS:000179318400007","View Full Record in Web of Science")</f>
        <v>View Full Record in Web of Science</v>
      </c>
    </row>
    <row r="843" spans="1:72" x14ac:dyDescent="0.15">
      <c r="A843" t="s">
        <v>72</v>
      </c>
      <c r="B843" t="s">
        <v>11467</v>
      </c>
      <c r="C843" t="s">
        <v>74</v>
      </c>
      <c r="D843" t="s">
        <v>74</v>
      </c>
      <c r="E843" t="s">
        <v>74</v>
      </c>
      <c r="F843" t="s">
        <v>11467</v>
      </c>
      <c r="G843" t="s">
        <v>74</v>
      </c>
      <c r="H843" t="s">
        <v>74</v>
      </c>
      <c r="I843" t="s">
        <v>11468</v>
      </c>
      <c r="J843" t="s">
        <v>11452</v>
      </c>
      <c r="K843" t="s">
        <v>74</v>
      </c>
      <c r="L843" t="s">
        <v>74</v>
      </c>
      <c r="M843" t="s">
        <v>77</v>
      </c>
      <c r="N843" t="s">
        <v>153</v>
      </c>
      <c r="O843" t="s">
        <v>74</v>
      </c>
      <c r="P843" t="s">
        <v>74</v>
      </c>
      <c r="Q843" t="s">
        <v>74</v>
      </c>
      <c r="R843" t="s">
        <v>74</v>
      </c>
      <c r="S843" t="s">
        <v>74</v>
      </c>
      <c r="T843" t="s">
        <v>11469</v>
      </c>
      <c r="U843" t="s">
        <v>74</v>
      </c>
      <c r="V843" t="s">
        <v>11470</v>
      </c>
      <c r="W843" t="s">
        <v>11456</v>
      </c>
      <c r="X843" t="s">
        <v>4112</v>
      </c>
      <c r="Y843" t="s">
        <v>11471</v>
      </c>
      <c r="Z843" t="s">
        <v>74</v>
      </c>
      <c r="AA843" t="s">
        <v>11472</v>
      </c>
      <c r="AB843" t="s">
        <v>11473</v>
      </c>
      <c r="AC843" t="s">
        <v>74</v>
      </c>
      <c r="AD843" t="s">
        <v>74</v>
      </c>
      <c r="AE843" t="s">
        <v>74</v>
      </c>
      <c r="AF843" t="s">
        <v>74</v>
      </c>
      <c r="AG843">
        <v>17</v>
      </c>
      <c r="AH843">
        <v>4</v>
      </c>
      <c r="AI843">
        <v>5</v>
      </c>
      <c r="AJ843">
        <v>0</v>
      </c>
      <c r="AK843">
        <v>5</v>
      </c>
      <c r="AL843" t="s">
        <v>11459</v>
      </c>
      <c r="AM843" t="s">
        <v>11460</v>
      </c>
      <c r="AN843" t="s">
        <v>11461</v>
      </c>
      <c r="AO843" t="s">
        <v>11462</v>
      </c>
      <c r="AP843" t="s">
        <v>74</v>
      </c>
      <c r="AQ843" t="s">
        <v>74</v>
      </c>
      <c r="AR843" t="s">
        <v>11463</v>
      </c>
      <c r="AS843" t="s">
        <v>11464</v>
      </c>
      <c r="AT843" t="s">
        <v>74</v>
      </c>
      <c r="AU843">
        <v>2002</v>
      </c>
      <c r="AV843">
        <v>50</v>
      </c>
      <c r="AW843">
        <v>3</v>
      </c>
      <c r="AX843" t="s">
        <v>74</v>
      </c>
      <c r="AY843" t="s">
        <v>74</v>
      </c>
      <c r="AZ843" t="s">
        <v>74</v>
      </c>
      <c r="BA843" t="s">
        <v>74</v>
      </c>
      <c r="BB843">
        <v>389</v>
      </c>
      <c r="BC843">
        <v>396</v>
      </c>
      <c r="BD843" t="s">
        <v>74</v>
      </c>
      <c r="BE843" t="s">
        <v>74</v>
      </c>
      <c r="BF843" t="s">
        <v>74</v>
      </c>
      <c r="BG843" t="s">
        <v>74</v>
      </c>
      <c r="BH843" t="s">
        <v>74</v>
      </c>
      <c r="BI843">
        <v>8</v>
      </c>
      <c r="BJ843" t="s">
        <v>3878</v>
      </c>
      <c r="BK843" t="s">
        <v>170</v>
      </c>
      <c r="BL843" t="s">
        <v>1020</v>
      </c>
      <c r="BM843" t="s">
        <v>11474</v>
      </c>
      <c r="BN843" t="s">
        <v>74</v>
      </c>
      <c r="BO843" t="s">
        <v>74</v>
      </c>
      <c r="BP843" t="s">
        <v>74</v>
      </c>
      <c r="BQ843" t="s">
        <v>74</v>
      </c>
      <c r="BR843" t="s">
        <v>107</v>
      </c>
      <c r="BS843" t="s">
        <v>11475</v>
      </c>
      <c r="BT843" t="str">
        <f>HYPERLINK("https%3A%2F%2Fwww.webofscience.com%2Fwos%2Fwoscc%2Ffull-record%2FWOS:000179318600007","View Full Record in Web of Science")</f>
        <v>View Full Record in Web of Science</v>
      </c>
    </row>
    <row r="844" spans="1:72" x14ac:dyDescent="0.15">
      <c r="A844" t="s">
        <v>72</v>
      </c>
      <c r="B844" t="s">
        <v>11476</v>
      </c>
      <c r="C844" t="s">
        <v>74</v>
      </c>
      <c r="D844" t="s">
        <v>74</v>
      </c>
      <c r="E844" t="s">
        <v>74</v>
      </c>
      <c r="F844" t="s">
        <v>11476</v>
      </c>
      <c r="G844" t="s">
        <v>74</v>
      </c>
      <c r="H844" t="s">
        <v>74</v>
      </c>
      <c r="I844" t="s">
        <v>11477</v>
      </c>
      <c r="J844" t="s">
        <v>11478</v>
      </c>
      <c r="K844" t="s">
        <v>74</v>
      </c>
      <c r="L844" t="s">
        <v>74</v>
      </c>
      <c r="M844" t="s">
        <v>77</v>
      </c>
      <c r="N844" t="s">
        <v>153</v>
      </c>
      <c r="O844" t="s">
        <v>74</v>
      </c>
      <c r="P844" t="s">
        <v>74</v>
      </c>
      <c r="Q844" t="s">
        <v>74</v>
      </c>
      <c r="R844" t="s">
        <v>74</v>
      </c>
      <c r="S844" t="s">
        <v>74</v>
      </c>
      <c r="T844" t="s">
        <v>11479</v>
      </c>
      <c r="U844" t="s">
        <v>11480</v>
      </c>
      <c r="V844" t="s">
        <v>11481</v>
      </c>
      <c r="W844" t="s">
        <v>11482</v>
      </c>
      <c r="X844" t="s">
        <v>9839</v>
      </c>
      <c r="Y844" t="s">
        <v>11483</v>
      </c>
      <c r="Z844" t="s">
        <v>74</v>
      </c>
      <c r="AA844" t="s">
        <v>11484</v>
      </c>
      <c r="AB844" t="s">
        <v>74</v>
      </c>
      <c r="AC844" t="s">
        <v>74</v>
      </c>
      <c r="AD844" t="s">
        <v>74</v>
      </c>
      <c r="AE844" t="s">
        <v>74</v>
      </c>
      <c r="AF844" t="s">
        <v>74</v>
      </c>
      <c r="AG844">
        <v>43</v>
      </c>
      <c r="AH844">
        <v>1</v>
      </c>
      <c r="AI844">
        <v>1</v>
      </c>
      <c r="AJ844">
        <v>2</v>
      </c>
      <c r="AK844">
        <v>6</v>
      </c>
      <c r="AL844" t="s">
        <v>453</v>
      </c>
      <c r="AM844" t="s">
        <v>454</v>
      </c>
      <c r="AN844" t="s">
        <v>10232</v>
      </c>
      <c r="AO844" t="s">
        <v>11485</v>
      </c>
      <c r="AP844" t="s">
        <v>74</v>
      </c>
      <c r="AQ844" t="s">
        <v>74</v>
      </c>
      <c r="AR844" t="s">
        <v>11486</v>
      </c>
      <c r="AS844" t="s">
        <v>11487</v>
      </c>
      <c r="AT844" t="s">
        <v>74</v>
      </c>
      <c r="AU844">
        <v>2002</v>
      </c>
      <c r="AV844">
        <v>22</v>
      </c>
      <c r="AW844">
        <v>1</v>
      </c>
      <c r="AX844" t="s">
        <v>74</v>
      </c>
      <c r="AY844" t="s">
        <v>74</v>
      </c>
      <c r="AZ844" t="s">
        <v>74</v>
      </c>
      <c r="BA844" t="s">
        <v>74</v>
      </c>
      <c r="BB844">
        <v>1</v>
      </c>
      <c r="BC844">
        <v>11</v>
      </c>
      <c r="BD844" t="s">
        <v>74</v>
      </c>
      <c r="BE844" t="s">
        <v>11488</v>
      </c>
      <c r="BF844" t="str">
        <f>HYPERLINK("http://dx.doi.org/10.1080/10406630210375","http://dx.doi.org/10.1080/10406630210375")</f>
        <v>http://dx.doi.org/10.1080/10406630210375</v>
      </c>
      <c r="BG844" t="s">
        <v>74</v>
      </c>
      <c r="BH844" t="s">
        <v>74</v>
      </c>
      <c r="BI844">
        <v>11</v>
      </c>
      <c r="BJ844" t="s">
        <v>11489</v>
      </c>
      <c r="BK844" t="s">
        <v>170</v>
      </c>
      <c r="BL844" t="s">
        <v>2189</v>
      </c>
      <c r="BM844" t="s">
        <v>11490</v>
      </c>
      <c r="BN844" t="s">
        <v>74</v>
      </c>
      <c r="BO844" t="s">
        <v>74</v>
      </c>
      <c r="BP844" t="s">
        <v>74</v>
      </c>
      <c r="BQ844" t="s">
        <v>74</v>
      </c>
      <c r="BR844" t="s">
        <v>107</v>
      </c>
      <c r="BS844" t="s">
        <v>11491</v>
      </c>
      <c r="BT844" t="str">
        <f>HYPERLINK("https%3A%2F%2Fwww.webofscience.com%2Fwos%2Fwoscc%2Ffull-record%2FWOS:000176006900001","View Full Record in Web of Science")</f>
        <v>View Full Record in Web of Science</v>
      </c>
    </row>
    <row r="845" spans="1:72" x14ac:dyDescent="0.15">
      <c r="A845" t="s">
        <v>6989</v>
      </c>
      <c r="B845" t="s">
        <v>11492</v>
      </c>
      <c r="C845" t="s">
        <v>74</v>
      </c>
      <c r="D845" t="s">
        <v>11493</v>
      </c>
      <c r="E845" t="s">
        <v>74</v>
      </c>
      <c r="F845" t="s">
        <v>11492</v>
      </c>
      <c r="G845" t="s">
        <v>74</v>
      </c>
      <c r="H845" t="s">
        <v>74</v>
      </c>
      <c r="I845" t="s">
        <v>11494</v>
      </c>
      <c r="J845" t="s">
        <v>11495</v>
      </c>
      <c r="K845" t="s">
        <v>11496</v>
      </c>
      <c r="L845" t="s">
        <v>74</v>
      </c>
      <c r="M845" t="s">
        <v>77</v>
      </c>
      <c r="N845" t="s">
        <v>6994</v>
      </c>
      <c r="O845" t="s">
        <v>11497</v>
      </c>
      <c r="P845" t="s">
        <v>4936</v>
      </c>
      <c r="Q845" t="s">
        <v>11498</v>
      </c>
      <c r="R845" t="s">
        <v>74</v>
      </c>
      <c r="S845" t="s">
        <v>74</v>
      </c>
      <c r="T845" t="s">
        <v>11499</v>
      </c>
      <c r="U845" t="s">
        <v>11500</v>
      </c>
      <c r="V845" t="s">
        <v>11501</v>
      </c>
      <c r="W845" t="s">
        <v>11502</v>
      </c>
      <c r="X845" t="s">
        <v>11503</v>
      </c>
      <c r="Y845" t="s">
        <v>11504</v>
      </c>
      <c r="Z845" t="s">
        <v>74</v>
      </c>
      <c r="AA845" t="s">
        <v>74</v>
      </c>
      <c r="AB845" t="s">
        <v>74</v>
      </c>
      <c r="AC845" t="s">
        <v>74</v>
      </c>
      <c r="AD845" t="s">
        <v>74</v>
      </c>
      <c r="AE845" t="s">
        <v>74</v>
      </c>
      <c r="AF845" t="s">
        <v>74</v>
      </c>
      <c r="AG845">
        <v>17</v>
      </c>
      <c r="AH845">
        <v>0</v>
      </c>
      <c r="AI845">
        <v>0</v>
      </c>
      <c r="AJ845">
        <v>0</v>
      </c>
      <c r="AK845">
        <v>4</v>
      </c>
      <c r="AL845" t="s">
        <v>11505</v>
      </c>
      <c r="AM845" t="s">
        <v>11506</v>
      </c>
      <c r="AN845" t="s">
        <v>11507</v>
      </c>
      <c r="AO845" t="s">
        <v>11508</v>
      </c>
      <c r="AP845" t="s">
        <v>74</v>
      </c>
      <c r="AQ845" t="s">
        <v>11509</v>
      </c>
      <c r="AR845" t="s">
        <v>11510</v>
      </c>
      <c r="AS845" t="s">
        <v>74</v>
      </c>
      <c r="AT845" t="s">
        <v>74</v>
      </c>
      <c r="AU845">
        <v>2002</v>
      </c>
      <c r="AV845" t="s">
        <v>74</v>
      </c>
      <c r="AW845">
        <v>585</v>
      </c>
      <c r="AX845" t="s">
        <v>74</v>
      </c>
      <c r="AY845" t="s">
        <v>74</v>
      </c>
      <c r="AZ845" t="s">
        <v>74</v>
      </c>
      <c r="BA845" t="s">
        <v>74</v>
      </c>
      <c r="BB845">
        <v>689</v>
      </c>
      <c r="BC845">
        <v>692</v>
      </c>
      <c r="BD845" t="s">
        <v>74</v>
      </c>
      <c r="BE845" t="s">
        <v>11511</v>
      </c>
      <c r="BF845" t="str">
        <f>HYPERLINK("http://dx.doi.org/10.17660/ActaHortic.2002.585.114","http://dx.doi.org/10.17660/ActaHortic.2002.585.114")</f>
        <v>http://dx.doi.org/10.17660/ActaHortic.2002.585.114</v>
      </c>
      <c r="BG845" t="s">
        <v>74</v>
      </c>
      <c r="BH845" t="s">
        <v>74</v>
      </c>
      <c r="BI845">
        <v>4</v>
      </c>
      <c r="BJ845" t="s">
        <v>11512</v>
      </c>
      <c r="BK845" t="s">
        <v>7004</v>
      </c>
      <c r="BL845" t="s">
        <v>11513</v>
      </c>
      <c r="BM845" t="s">
        <v>11514</v>
      </c>
      <c r="BN845" t="s">
        <v>74</v>
      </c>
      <c r="BO845" t="s">
        <v>74</v>
      </c>
      <c r="BP845" t="s">
        <v>74</v>
      </c>
      <c r="BQ845" t="s">
        <v>74</v>
      </c>
      <c r="BR845" t="s">
        <v>107</v>
      </c>
      <c r="BS845" t="s">
        <v>11515</v>
      </c>
      <c r="BT845" t="str">
        <f>HYPERLINK("https%3A%2F%2Fwww.webofscience.com%2Fwos%2Fwoscc%2Ffull-record%2FWOS:000180071700114","View Full Record in Web of Science")</f>
        <v>View Full Record in Web of Science</v>
      </c>
    </row>
    <row r="846" spans="1:72" x14ac:dyDescent="0.15">
      <c r="A846" t="s">
        <v>6989</v>
      </c>
      <c r="B846" t="s">
        <v>11516</v>
      </c>
      <c r="C846" t="s">
        <v>74</v>
      </c>
      <c r="D846" t="s">
        <v>11517</v>
      </c>
      <c r="E846" t="s">
        <v>74</v>
      </c>
      <c r="F846" t="s">
        <v>11516</v>
      </c>
      <c r="G846" t="s">
        <v>74</v>
      </c>
      <c r="H846" t="s">
        <v>74</v>
      </c>
      <c r="I846" t="s">
        <v>11518</v>
      </c>
      <c r="J846" t="s">
        <v>11519</v>
      </c>
      <c r="K846" t="s">
        <v>11520</v>
      </c>
      <c r="L846" t="s">
        <v>74</v>
      </c>
      <c r="M846" t="s">
        <v>77</v>
      </c>
      <c r="N846" t="s">
        <v>6994</v>
      </c>
      <c r="O846" t="s">
        <v>11521</v>
      </c>
      <c r="P846" t="s">
        <v>11522</v>
      </c>
      <c r="Q846" t="s">
        <v>11523</v>
      </c>
      <c r="R846" t="s">
        <v>74</v>
      </c>
      <c r="S846" t="s">
        <v>74</v>
      </c>
      <c r="T846" t="s">
        <v>74</v>
      </c>
      <c r="U846" t="s">
        <v>11524</v>
      </c>
      <c r="V846" t="s">
        <v>11525</v>
      </c>
      <c r="W846" t="s">
        <v>11526</v>
      </c>
      <c r="X846" t="s">
        <v>852</v>
      </c>
      <c r="Y846" t="s">
        <v>11527</v>
      </c>
      <c r="Z846" t="s">
        <v>11528</v>
      </c>
      <c r="AA846" t="s">
        <v>11529</v>
      </c>
      <c r="AB846" t="s">
        <v>11530</v>
      </c>
      <c r="AC846" t="s">
        <v>74</v>
      </c>
      <c r="AD846" t="s">
        <v>74</v>
      </c>
      <c r="AE846" t="s">
        <v>74</v>
      </c>
      <c r="AF846" t="s">
        <v>74</v>
      </c>
      <c r="AG846">
        <v>12</v>
      </c>
      <c r="AH846">
        <v>4</v>
      </c>
      <c r="AI846">
        <v>4</v>
      </c>
      <c r="AJ846">
        <v>0</v>
      </c>
      <c r="AK846">
        <v>3</v>
      </c>
      <c r="AL846" t="s">
        <v>11531</v>
      </c>
      <c r="AM846" t="s">
        <v>11532</v>
      </c>
      <c r="AN846" t="s">
        <v>11533</v>
      </c>
      <c r="AO846" t="s">
        <v>11534</v>
      </c>
      <c r="AP846" t="s">
        <v>74</v>
      </c>
      <c r="AQ846" t="s">
        <v>11535</v>
      </c>
      <c r="AR846" t="s">
        <v>11536</v>
      </c>
      <c r="AS846" t="s">
        <v>74</v>
      </c>
      <c r="AT846" t="s">
        <v>74</v>
      </c>
      <c r="AU846">
        <v>2002</v>
      </c>
      <c r="AV846">
        <v>518</v>
      </c>
      <c r="AW846" t="s">
        <v>74</v>
      </c>
      <c r="AX846" t="s">
        <v>74</v>
      </c>
      <c r="AY846" t="s">
        <v>74</v>
      </c>
      <c r="AZ846" t="s">
        <v>74</v>
      </c>
      <c r="BA846" t="s">
        <v>74</v>
      </c>
      <c r="BB846">
        <v>215</v>
      </c>
      <c r="BC846">
        <v>218</v>
      </c>
      <c r="BD846" t="s">
        <v>74</v>
      </c>
      <c r="BE846" t="s">
        <v>74</v>
      </c>
      <c r="BF846" t="s">
        <v>74</v>
      </c>
      <c r="BG846" t="s">
        <v>74</v>
      </c>
      <c r="BH846" t="s">
        <v>74</v>
      </c>
      <c r="BI846">
        <v>4</v>
      </c>
      <c r="BJ846" t="s">
        <v>1856</v>
      </c>
      <c r="BK846" t="s">
        <v>7004</v>
      </c>
      <c r="BL846" t="s">
        <v>1856</v>
      </c>
      <c r="BM846" t="s">
        <v>11537</v>
      </c>
      <c r="BN846" t="s">
        <v>74</v>
      </c>
      <c r="BO846" t="s">
        <v>74</v>
      </c>
      <c r="BP846" t="s">
        <v>74</v>
      </c>
      <c r="BQ846" t="s">
        <v>74</v>
      </c>
      <c r="BR846" t="s">
        <v>107</v>
      </c>
      <c r="BS846" t="s">
        <v>11538</v>
      </c>
      <c r="BT846" t="str">
        <f>HYPERLINK("https%3A%2F%2Fwww.webofscience.com%2Fwos%2Fwoscc%2Ffull-record%2FWOS:000182317000044","View Full Record in Web of Science")</f>
        <v>View Full Record in Web of Science</v>
      </c>
    </row>
    <row r="847" spans="1:72" x14ac:dyDescent="0.15">
      <c r="A847" t="s">
        <v>6989</v>
      </c>
      <c r="B847" t="s">
        <v>11539</v>
      </c>
      <c r="C847" t="s">
        <v>74</v>
      </c>
      <c r="D847" t="s">
        <v>11517</v>
      </c>
      <c r="E847" t="s">
        <v>74</v>
      </c>
      <c r="F847" t="s">
        <v>11539</v>
      </c>
      <c r="G847" t="s">
        <v>74</v>
      </c>
      <c r="H847" t="s">
        <v>74</v>
      </c>
      <c r="I847" t="s">
        <v>11540</v>
      </c>
      <c r="J847" t="s">
        <v>11519</v>
      </c>
      <c r="K847" t="s">
        <v>11541</v>
      </c>
      <c r="L847" t="s">
        <v>74</v>
      </c>
      <c r="M847" t="s">
        <v>77</v>
      </c>
      <c r="N847" t="s">
        <v>6994</v>
      </c>
      <c r="O847" t="s">
        <v>11521</v>
      </c>
      <c r="P847" t="s">
        <v>11522</v>
      </c>
      <c r="Q847" t="s">
        <v>11523</v>
      </c>
      <c r="R847" t="s">
        <v>74</v>
      </c>
      <c r="S847" t="s">
        <v>74</v>
      </c>
      <c r="T847" t="s">
        <v>74</v>
      </c>
      <c r="U847" t="s">
        <v>11542</v>
      </c>
      <c r="V847" t="s">
        <v>11543</v>
      </c>
      <c r="W847" t="s">
        <v>11544</v>
      </c>
      <c r="X847" t="s">
        <v>11545</v>
      </c>
      <c r="Y847" t="s">
        <v>11546</v>
      </c>
      <c r="Z847" t="s">
        <v>74</v>
      </c>
      <c r="AA847" t="s">
        <v>11547</v>
      </c>
      <c r="AB847" t="s">
        <v>11548</v>
      </c>
      <c r="AC847" t="s">
        <v>74</v>
      </c>
      <c r="AD847" t="s">
        <v>74</v>
      </c>
      <c r="AE847" t="s">
        <v>74</v>
      </c>
      <c r="AF847" t="s">
        <v>74</v>
      </c>
      <c r="AG847">
        <v>10</v>
      </c>
      <c r="AH847">
        <v>0</v>
      </c>
      <c r="AI847">
        <v>1</v>
      </c>
      <c r="AJ847">
        <v>0</v>
      </c>
      <c r="AK847">
        <v>3</v>
      </c>
      <c r="AL847" t="s">
        <v>11531</v>
      </c>
      <c r="AM847" t="s">
        <v>11532</v>
      </c>
      <c r="AN847" t="s">
        <v>11533</v>
      </c>
      <c r="AO847" t="s">
        <v>11534</v>
      </c>
      <c r="AP847" t="s">
        <v>74</v>
      </c>
      <c r="AQ847" t="s">
        <v>11535</v>
      </c>
      <c r="AR847" t="s">
        <v>11549</v>
      </c>
      <c r="AS847" t="s">
        <v>74</v>
      </c>
      <c r="AT847" t="s">
        <v>74</v>
      </c>
      <c r="AU847">
        <v>2002</v>
      </c>
      <c r="AV847">
        <v>518</v>
      </c>
      <c r="AW847" t="s">
        <v>74</v>
      </c>
      <c r="AX847" t="s">
        <v>74</v>
      </c>
      <c r="AY847" t="s">
        <v>74</v>
      </c>
      <c r="AZ847" t="s">
        <v>74</v>
      </c>
      <c r="BA847" t="s">
        <v>74</v>
      </c>
      <c r="BB847">
        <v>219</v>
      </c>
      <c r="BC847">
        <v>222</v>
      </c>
      <c r="BD847" t="s">
        <v>74</v>
      </c>
      <c r="BE847" t="s">
        <v>74</v>
      </c>
      <c r="BF847" t="s">
        <v>74</v>
      </c>
      <c r="BG847" t="s">
        <v>74</v>
      </c>
      <c r="BH847" t="s">
        <v>74</v>
      </c>
      <c r="BI847">
        <v>4</v>
      </c>
      <c r="BJ847" t="s">
        <v>1856</v>
      </c>
      <c r="BK847" t="s">
        <v>7004</v>
      </c>
      <c r="BL847" t="s">
        <v>1856</v>
      </c>
      <c r="BM847" t="s">
        <v>11537</v>
      </c>
      <c r="BN847" t="s">
        <v>74</v>
      </c>
      <c r="BO847" t="s">
        <v>74</v>
      </c>
      <c r="BP847" t="s">
        <v>74</v>
      </c>
      <c r="BQ847" t="s">
        <v>74</v>
      </c>
      <c r="BR847" t="s">
        <v>107</v>
      </c>
      <c r="BS847" t="s">
        <v>11550</v>
      </c>
      <c r="BT847" t="str">
        <f>HYPERLINK("https%3A%2F%2Fwww.webofscience.com%2Fwos%2Fwoscc%2Ffull-record%2FWOS:000182317000045","View Full Record in Web of Science")</f>
        <v>View Full Record in Web of Science</v>
      </c>
    </row>
    <row r="848" spans="1:72" x14ac:dyDescent="0.15">
      <c r="A848" t="s">
        <v>6989</v>
      </c>
      <c r="B848" t="s">
        <v>11551</v>
      </c>
      <c r="C848" t="s">
        <v>74</v>
      </c>
      <c r="D848" t="s">
        <v>11517</v>
      </c>
      <c r="E848" t="s">
        <v>74</v>
      </c>
      <c r="F848" t="s">
        <v>11551</v>
      </c>
      <c r="G848" t="s">
        <v>74</v>
      </c>
      <c r="H848" t="s">
        <v>74</v>
      </c>
      <c r="I848" t="s">
        <v>11552</v>
      </c>
      <c r="J848" t="s">
        <v>11519</v>
      </c>
      <c r="K848" t="s">
        <v>11541</v>
      </c>
      <c r="L848" t="s">
        <v>74</v>
      </c>
      <c r="M848" t="s">
        <v>77</v>
      </c>
      <c r="N848" t="s">
        <v>6994</v>
      </c>
      <c r="O848" t="s">
        <v>11521</v>
      </c>
      <c r="P848" t="s">
        <v>11522</v>
      </c>
      <c r="Q848" t="s">
        <v>11523</v>
      </c>
      <c r="R848" t="s">
        <v>74</v>
      </c>
      <c r="S848" t="s">
        <v>74</v>
      </c>
      <c r="T848" t="s">
        <v>74</v>
      </c>
      <c r="U848" t="s">
        <v>74</v>
      </c>
      <c r="V848" t="s">
        <v>11553</v>
      </c>
      <c r="W848" t="s">
        <v>11554</v>
      </c>
      <c r="X848" t="s">
        <v>11555</v>
      </c>
      <c r="Y848" t="s">
        <v>11556</v>
      </c>
      <c r="Z848" t="s">
        <v>74</v>
      </c>
      <c r="AA848" t="s">
        <v>74</v>
      </c>
      <c r="AB848" t="s">
        <v>74</v>
      </c>
      <c r="AC848" t="s">
        <v>74</v>
      </c>
      <c r="AD848" t="s">
        <v>74</v>
      </c>
      <c r="AE848" t="s">
        <v>74</v>
      </c>
      <c r="AF848" t="s">
        <v>74</v>
      </c>
      <c r="AG848">
        <v>6</v>
      </c>
      <c r="AH848">
        <v>0</v>
      </c>
      <c r="AI848">
        <v>0</v>
      </c>
      <c r="AJ848">
        <v>0</v>
      </c>
      <c r="AK848">
        <v>1</v>
      </c>
      <c r="AL848" t="s">
        <v>11531</v>
      </c>
      <c r="AM848" t="s">
        <v>11532</v>
      </c>
      <c r="AN848" t="s">
        <v>11533</v>
      </c>
      <c r="AO848" t="s">
        <v>11534</v>
      </c>
      <c r="AP848" t="s">
        <v>74</v>
      </c>
      <c r="AQ848" t="s">
        <v>11535</v>
      </c>
      <c r="AR848" t="s">
        <v>11549</v>
      </c>
      <c r="AS848" t="s">
        <v>74</v>
      </c>
      <c r="AT848" t="s">
        <v>74</v>
      </c>
      <c r="AU848">
        <v>2002</v>
      </c>
      <c r="AV848">
        <v>518</v>
      </c>
      <c r="AW848" t="s">
        <v>74</v>
      </c>
      <c r="AX848" t="s">
        <v>74</v>
      </c>
      <c r="AY848" t="s">
        <v>74</v>
      </c>
      <c r="AZ848" t="s">
        <v>74</v>
      </c>
      <c r="BA848" t="s">
        <v>74</v>
      </c>
      <c r="BB848">
        <v>287</v>
      </c>
      <c r="BC848">
        <v>290</v>
      </c>
      <c r="BD848" t="s">
        <v>74</v>
      </c>
      <c r="BE848" t="s">
        <v>74</v>
      </c>
      <c r="BF848" t="s">
        <v>74</v>
      </c>
      <c r="BG848" t="s">
        <v>74</v>
      </c>
      <c r="BH848" t="s">
        <v>74</v>
      </c>
      <c r="BI848">
        <v>4</v>
      </c>
      <c r="BJ848" t="s">
        <v>1856</v>
      </c>
      <c r="BK848" t="s">
        <v>7004</v>
      </c>
      <c r="BL848" t="s">
        <v>1856</v>
      </c>
      <c r="BM848" t="s">
        <v>11537</v>
      </c>
      <c r="BN848" t="s">
        <v>74</v>
      </c>
      <c r="BO848" t="s">
        <v>74</v>
      </c>
      <c r="BP848" t="s">
        <v>74</v>
      </c>
      <c r="BQ848" t="s">
        <v>74</v>
      </c>
      <c r="BR848" t="s">
        <v>107</v>
      </c>
      <c r="BS848" t="s">
        <v>11557</v>
      </c>
      <c r="BT848" t="str">
        <f>HYPERLINK("https%3A%2F%2Fwww.webofscience.com%2Fwos%2Fwoscc%2Ffull-record%2FWOS:000182317000058","View Full Record in Web of Science")</f>
        <v>View Full Record in Web of Science</v>
      </c>
    </row>
    <row r="849" spans="1:72" x14ac:dyDescent="0.15">
      <c r="A849" t="s">
        <v>6989</v>
      </c>
      <c r="B849" t="s">
        <v>11558</v>
      </c>
      <c r="C849" t="s">
        <v>74</v>
      </c>
      <c r="D849" t="s">
        <v>11517</v>
      </c>
      <c r="E849" t="s">
        <v>74</v>
      </c>
      <c r="F849" t="s">
        <v>11558</v>
      </c>
      <c r="G849" t="s">
        <v>74</v>
      </c>
      <c r="H849" t="s">
        <v>74</v>
      </c>
      <c r="I849" t="s">
        <v>11559</v>
      </c>
      <c r="J849" t="s">
        <v>11519</v>
      </c>
      <c r="K849" t="s">
        <v>11520</v>
      </c>
      <c r="L849" t="s">
        <v>74</v>
      </c>
      <c r="M849" t="s">
        <v>77</v>
      </c>
      <c r="N849" t="s">
        <v>6994</v>
      </c>
      <c r="O849" t="s">
        <v>11521</v>
      </c>
      <c r="P849" t="s">
        <v>11522</v>
      </c>
      <c r="Q849" t="s">
        <v>11523</v>
      </c>
      <c r="R849" t="s">
        <v>74</v>
      </c>
      <c r="S849" t="s">
        <v>74</v>
      </c>
      <c r="T849" t="s">
        <v>74</v>
      </c>
      <c r="U849" t="s">
        <v>11560</v>
      </c>
      <c r="V849" t="s">
        <v>11561</v>
      </c>
      <c r="W849" t="s">
        <v>11562</v>
      </c>
      <c r="X849" t="s">
        <v>11563</v>
      </c>
      <c r="Y849" t="s">
        <v>11564</v>
      </c>
      <c r="Z849" t="s">
        <v>11565</v>
      </c>
      <c r="AA849" t="s">
        <v>11566</v>
      </c>
      <c r="AB849" t="s">
        <v>11567</v>
      </c>
      <c r="AC849" t="s">
        <v>74</v>
      </c>
      <c r="AD849" t="s">
        <v>74</v>
      </c>
      <c r="AE849" t="s">
        <v>74</v>
      </c>
      <c r="AF849" t="s">
        <v>74</v>
      </c>
      <c r="AG849">
        <v>14</v>
      </c>
      <c r="AH849">
        <v>1</v>
      </c>
      <c r="AI849">
        <v>1</v>
      </c>
      <c r="AJ849">
        <v>0</v>
      </c>
      <c r="AK849">
        <v>4</v>
      </c>
      <c r="AL849" t="s">
        <v>11531</v>
      </c>
      <c r="AM849" t="s">
        <v>11532</v>
      </c>
      <c r="AN849" t="s">
        <v>11533</v>
      </c>
      <c r="AO849" t="s">
        <v>11534</v>
      </c>
      <c r="AP849" t="s">
        <v>74</v>
      </c>
      <c r="AQ849" t="s">
        <v>11535</v>
      </c>
      <c r="AR849" t="s">
        <v>11536</v>
      </c>
      <c r="AS849" t="s">
        <v>74</v>
      </c>
      <c r="AT849" t="s">
        <v>74</v>
      </c>
      <c r="AU849">
        <v>2002</v>
      </c>
      <c r="AV849">
        <v>518</v>
      </c>
      <c r="AW849" t="s">
        <v>74</v>
      </c>
      <c r="AX849" t="s">
        <v>74</v>
      </c>
      <c r="AY849" t="s">
        <v>74</v>
      </c>
      <c r="AZ849" t="s">
        <v>74</v>
      </c>
      <c r="BA849" t="s">
        <v>74</v>
      </c>
      <c r="BB849">
        <v>295</v>
      </c>
      <c r="BC849">
        <v>298</v>
      </c>
      <c r="BD849" t="s">
        <v>74</v>
      </c>
      <c r="BE849" t="s">
        <v>74</v>
      </c>
      <c r="BF849" t="s">
        <v>74</v>
      </c>
      <c r="BG849" t="s">
        <v>74</v>
      </c>
      <c r="BH849" t="s">
        <v>74</v>
      </c>
      <c r="BI849">
        <v>4</v>
      </c>
      <c r="BJ849" t="s">
        <v>1856</v>
      </c>
      <c r="BK849" t="s">
        <v>7004</v>
      </c>
      <c r="BL849" t="s">
        <v>1856</v>
      </c>
      <c r="BM849" t="s">
        <v>11537</v>
      </c>
      <c r="BN849" t="s">
        <v>74</v>
      </c>
      <c r="BO849" t="s">
        <v>74</v>
      </c>
      <c r="BP849" t="s">
        <v>74</v>
      </c>
      <c r="BQ849" t="s">
        <v>74</v>
      </c>
      <c r="BR849" t="s">
        <v>107</v>
      </c>
      <c r="BS849" t="s">
        <v>11568</v>
      </c>
      <c r="BT849" t="str">
        <f>HYPERLINK("https%3A%2F%2Fwww.webofscience.com%2Fwos%2Fwoscc%2Ffull-record%2FWOS:000182317000060","View Full Record in Web of Science")</f>
        <v>View Full Record in Web of Science</v>
      </c>
    </row>
    <row r="850" spans="1:72" x14ac:dyDescent="0.15">
      <c r="A850" t="s">
        <v>6989</v>
      </c>
      <c r="B850" t="s">
        <v>11569</v>
      </c>
      <c r="C850" t="s">
        <v>74</v>
      </c>
      <c r="D850" t="s">
        <v>11570</v>
      </c>
      <c r="E850" t="s">
        <v>74</v>
      </c>
      <c r="F850" t="s">
        <v>11569</v>
      </c>
      <c r="G850" t="s">
        <v>74</v>
      </c>
      <c r="H850" t="s">
        <v>74</v>
      </c>
      <c r="I850" t="s">
        <v>11571</v>
      </c>
      <c r="J850" t="s">
        <v>11572</v>
      </c>
      <c r="K850" t="s">
        <v>11573</v>
      </c>
      <c r="L850" t="s">
        <v>74</v>
      </c>
      <c r="M850" t="s">
        <v>77</v>
      </c>
      <c r="N850" t="s">
        <v>6994</v>
      </c>
      <c r="O850" t="s">
        <v>11574</v>
      </c>
      <c r="P850" t="s">
        <v>11575</v>
      </c>
      <c r="Q850" t="s">
        <v>11576</v>
      </c>
      <c r="R850" t="s">
        <v>74</v>
      </c>
      <c r="S850" t="s">
        <v>74</v>
      </c>
      <c r="T850" t="s">
        <v>11577</v>
      </c>
      <c r="U850" t="s">
        <v>74</v>
      </c>
      <c r="V850" t="s">
        <v>11578</v>
      </c>
      <c r="W850" t="s">
        <v>11579</v>
      </c>
      <c r="X850" t="s">
        <v>5282</v>
      </c>
      <c r="Y850" t="s">
        <v>11580</v>
      </c>
      <c r="Z850" t="s">
        <v>74</v>
      </c>
      <c r="AA850" t="s">
        <v>74</v>
      </c>
      <c r="AB850" t="s">
        <v>74</v>
      </c>
      <c r="AC850" t="s">
        <v>74</v>
      </c>
      <c r="AD850" t="s">
        <v>74</v>
      </c>
      <c r="AE850" t="s">
        <v>74</v>
      </c>
      <c r="AF850" t="s">
        <v>74</v>
      </c>
      <c r="AG850">
        <v>3</v>
      </c>
      <c r="AH850">
        <v>0</v>
      </c>
      <c r="AI850">
        <v>0</v>
      </c>
      <c r="AJ850">
        <v>0</v>
      </c>
      <c r="AK850">
        <v>1</v>
      </c>
      <c r="AL850" t="s">
        <v>11581</v>
      </c>
      <c r="AM850" t="s">
        <v>11582</v>
      </c>
      <c r="AN850" t="s">
        <v>11583</v>
      </c>
      <c r="AO850" t="s">
        <v>11584</v>
      </c>
      <c r="AP850" t="s">
        <v>74</v>
      </c>
      <c r="AQ850" t="s">
        <v>11585</v>
      </c>
      <c r="AR850" t="s">
        <v>11586</v>
      </c>
      <c r="AS850" t="s">
        <v>74</v>
      </c>
      <c r="AT850" t="s">
        <v>74</v>
      </c>
      <c r="AU850">
        <v>2002</v>
      </c>
      <c r="AV850" t="s">
        <v>74</v>
      </c>
      <c r="AW850" t="s">
        <v>74</v>
      </c>
      <c r="AX850" t="s">
        <v>74</v>
      </c>
      <c r="AY850" t="s">
        <v>74</v>
      </c>
      <c r="AZ850" t="s">
        <v>74</v>
      </c>
      <c r="BA850" t="s">
        <v>74</v>
      </c>
      <c r="BB850">
        <v>785</v>
      </c>
      <c r="BC850">
        <v>790</v>
      </c>
      <c r="BD850" t="s">
        <v>74</v>
      </c>
      <c r="BE850" t="s">
        <v>74</v>
      </c>
      <c r="BF850" t="s">
        <v>74</v>
      </c>
      <c r="BG850" t="s">
        <v>74</v>
      </c>
      <c r="BH850" t="s">
        <v>74</v>
      </c>
      <c r="BI850">
        <v>6</v>
      </c>
      <c r="BJ850" t="s">
        <v>11587</v>
      </c>
      <c r="BK850" t="s">
        <v>7004</v>
      </c>
      <c r="BL850" t="s">
        <v>2418</v>
      </c>
      <c r="BM850" t="s">
        <v>11588</v>
      </c>
      <c r="BN850" t="s">
        <v>74</v>
      </c>
      <c r="BO850" t="s">
        <v>74</v>
      </c>
      <c r="BP850" t="s">
        <v>74</v>
      </c>
      <c r="BQ850" t="s">
        <v>74</v>
      </c>
      <c r="BR850" t="s">
        <v>107</v>
      </c>
      <c r="BS850" t="s">
        <v>11589</v>
      </c>
      <c r="BT850" t="str">
        <f>HYPERLINK("https%3A%2F%2Fwww.webofscience.com%2Fwos%2Fwoscc%2Ffull-record%2FWOS:000223061800121","View Full Record in Web of Science")</f>
        <v>View Full Record in Web of Science</v>
      </c>
    </row>
    <row r="851" spans="1:72" x14ac:dyDescent="0.15">
      <c r="A851" t="s">
        <v>72</v>
      </c>
      <c r="B851" t="s">
        <v>11590</v>
      </c>
      <c r="C851" t="s">
        <v>74</v>
      </c>
      <c r="D851" t="s">
        <v>74</v>
      </c>
      <c r="E851" t="s">
        <v>74</v>
      </c>
      <c r="F851" t="s">
        <v>11590</v>
      </c>
      <c r="G851" t="s">
        <v>74</v>
      </c>
      <c r="H851" t="s">
        <v>74</v>
      </c>
      <c r="I851" t="s">
        <v>11591</v>
      </c>
      <c r="J851" t="s">
        <v>11592</v>
      </c>
      <c r="K851" t="s">
        <v>74</v>
      </c>
      <c r="L851" t="s">
        <v>74</v>
      </c>
      <c r="M851" t="s">
        <v>77</v>
      </c>
      <c r="N851" t="s">
        <v>78</v>
      </c>
      <c r="O851" t="s">
        <v>11593</v>
      </c>
      <c r="P851" t="s">
        <v>11594</v>
      </c>
      <c r="Q851" t="s">
        <v>11595</v>
      </c>
      <c r="R851" t="s">
        <v>74</v>
      </c>
      <c r="S851" t="s">
        <v>74</v>
      </c>
      <c r="T851" t="s">
        <v>74</v>
      </c>
      <c r="U851" t="s">
        <v>11596</v>
      </c>
      <c r="V851" t="s">
        <v>11597</v>
      </c>
      <c r="W851" t="s">
        <v>11598</v>
      </c>
      <c r="X851" t="s">
        <v>11599</v>
      </c>
      <c r="Y851" t="s">
        <v>11600</v>
      </c>
      <c r="Z851" t="s">
        <v>11601</v>
      </c>
      <c r="AA851" t="s">
        <v>74</v>
      </c>
      <c r="AB851" t="s">
        <v>74</v>
      </c>
      <c r="AC851" t="s">
        <v>74</v>
      </c>
      <c r="AD851" t="s">
        <v>74</v>
      </c>
      <c r="AE851" t="s">
        <v>74</v>
      </c>
      <c r="AF851" t="s">
        <v>74</v>
      </c>
      <c r="AG851">
        <v>55</v>
      </c>
      <c r="AH851">
        <v>101</v>
      </c>
      <c r="AI851">
        <v>122</v>
      </c>
      <c r="AJ851">
        <v>0</v>
      </c>
      <c r="AK851">
        <v>26</v>
      </c>
      <c r="AL851" t="s">
        <v>1013</v>
      </c>
      <c r="AM851" t="s">
        <v>895</v>
      </c>
      <c r="AN851" t="s">
        <v>1014</v>
      </c>
      <c r="AO851" t="s">
        <v>11602</v>
      </c>
      <c r="AP851" t="s">
        <v>74</v>
      </c>
      <c r="AQ851" t="s">
        <v>74</v>
      </c>
      <c r="AR851" t="s">
        <v>11603</v>
      </c>
      <c r="AS851" t="s">
        <v>11604</v>
      </c>
      <c r="AT851" t="s">
        <v>74</v>
      </c>
      <c r="AU851">
        <v>2002</v>
      </c>
      <c r="AV851">
        <v>54</v>
      </c>
      <c r="AW851" t="s">
        <v>1834</v>
      </c>
      <c r="AX851" t="s">
        <v>74</v>
      </c>
      <c r="AY851" t="s">
        <v>74</v>
      </c>
      <c r="AZ851" t="s">
        <v>74</v>
      </c>
      <c r="BA851" t="s">
        <v>74</v>
      </c>
      <c r="BB851">
        <v>279</v>
      </c>
      <c r="BC851">
        <v>291</v>
      </c>
      <c r="BD851" t="s">
        <v>11605</v>
      </c>
      <c r="BE851" t="s">
        <v>11606</v>
      </c>
      <c r="BF851" t="str">
        <f>HYPERLINK("http://dx.doi.org/10.1016/S0079-6611(02)00054-X","http://dx.doi.org/10.1016/S0079-6611(02)00054-X")</f>
        <v>http://dx.doi.org/10.1016/S0079-6611(02)00054-X</v>
      </c>
      <c r="BG851" t="s">
        <v>74</v>
      </c>
      <c r="BH851" t="s">
        <v>74</v>
      </c>
      <c r="BI851">
        <v>13</v>
      </c>
      <c r="BJ851" t="s">
        <v>1155</v>
      </c>
      <c r="BK851" t="s">
        <v>744</v>
      </c>
      <c r="BL851" t="s">
        <v>1155</v>
      </c>
      <c r="BM851" t="s">
        <v>11607</v>
      </c>
      <c r="BN851" t="s">
        <v>74</v>
      </c>
      <c r="BO851" t="s">
        <v>74</v>
      </c>
      <c r="BP851" t="s">
        <v>74</v>
      </c>
      <c r="BQ851" t="s">
        <v>74</v>
      </c>
      <c r="BR851" t="s">
        <v>107</v>
      </c>
      <c r="BS851" t="s">
        <v>11608</v>
      </c>
      <c r="BT851" t="str">
        <f>HYPERLINK("https%3A%2F%2Fwww.webofscience.com%2Fwos%2Fwoscc%2Ffull-record%2FWOS:000178308900015","View Full Record in Web of Science")</f>
        <v>View Full Record in Web of Science</v>
      </c>
    </row>
    <row r="852" spans="1:72" x14ac:dyDescent="0.15">
      <c r="A852" t="s">
        <v>72</v>
      </c>
      <c r="B852" t="s">
        <v>11609</v>
      </c>
      <c r="C852" t="s">
        <v>74</v>
      </c>
      <c r="D852" t="s">
        <v>74</v>
      </c>
      <c r="E852" t="s">
        <v>74</v>
      </c>
      <c r="F852" t="s">
        <v>11609</v>
      </c>
      <c r="G852" t="s">
        <v>74</v>
      </c>
      <c r="H852" t="s">
        <v>74</v>
      </c>
      <c r="I852" t="s">
        <v>11610</v>
      </c>
      <c r="J852" t="s">
        <v>11611</v>
      </c>
      <c r="K852" t="s">
        <v>74</v>
      </c>
      <c r="L852" t="s">
        <v>74</v>
      </c>
      <c r="M852" t="s">
        <v>77</v>
      </c>
      <c r="N852" t="s">
        <v>78</v>
      </c>
      <c r="O852" t="s">
        <v>11612</v>
      </c>
      <c r="P852" t="s">
        <v>11613</v>
      </c>
      <c r="Q852" t="s">
        <v>11614</v>
      </c>
      <c r="R852" t="s">
        <v>74</v>
      </c>
      <c r="S852" t="s">
        <v>74</v>
      </c>
      <c r="T852" t="s">
        <v>11615</v>
      </c>
      <c r="U852" t="s">
        <v>3627</v>
      </c>
      <c r="V852" t="s">
        <v>11616</v>
      </c>
      <c r="W852" t="s">
        <v>11617</v>
      </c>
      <c r="X852" t="s">
        <v>74</v>
      </c>
      <c r="Y852" t="s">
        <v>11618</v>
      </c>
      <c r="Z852" t="s">
        <v>11619</v>
      </c>
      <c r="AA852" t="s">
        <v>74</v>
      </c>
      <c r="AB852" t="s">
        <v>74</v>
      </c>
      <c r="AC852" t="s">
        <v>74</v>
      </c>
      <c r="AD852" t="s">
        <v>74</v>
      </c>
      <c r="AE852" t="s">
        <v>74</v>
      </c>
      <c r="AF852" t="s">
        <v>74</v>
      </c>
      <c r="AG852">
        <v>5</v>
      </c>
      <c r="AH852">
        <v>9</v>
      </c>
      <c r="AI852">
        <v>10</v>
      </c>
      <c r="AJ852">
        <v>0</v>
      </c>
      <c r="AK852">
        <v>2</v>
      </c>
      <c r="AL852" t="s">
        <v>753</v>
      </c>
      <c r="AM852" t="s">
        <v>195</v>
      </c>
      <c r="AN852" t="s">
        <v>803</v>
      </c>
      <c r="AO852" t="s">
        <v>11620</v>
      </c>
      <c r="AP852" t="s">
        <v>11621</v>
      </c>
      <c r="AQ852" t="s">
        <v>74</v>
      </c>
      <c r="AR852" t="s">
        <v>11622</v>
      </c>
      <c r="AS852" t="s">
        <v>11623</v>
      </c>
      <c r="AT852" t="s">
        <v>74</v>
      </c>
      <c r="AU852">
        <v>2002</v>
      </c>
      <c r="AV852">
        <v>19</v>
      </c>
      <c r="AW852">
        <v>3</v>
      </c>
      <c r="AX852" t="s">
        <v>74</v>
      </c>
      <c r="AY852" t="s">
        <v>74</v>
      </c>
      <c r="AZ852" t="s">
        <v>74</v>
      </c>
      <c r="BA852" t="s">
        <v>74</v>
      </c>
      <c r="BB852">
        <v>301</v>
      </c>
      <c r="BC852">
        <v>305</v>
      </c>
      <c r="BD852" t="s">
        <v>74</v>
      </c>
      <c r="BE852" t="s">
        <v>11624</v>
      </c>
      <c r="BF852" t="str">
        <f>HYPERLINK("http://dx.doi.org/10.1071/AS01071","http://dx.doi.org/10.1071/AS01071")</f>
        <v>http://dx.doi.org/10.1071/AS01071</v>
      </c>
      <c r="BG852" t="s">
        <v>74</v>
      </c>
      <c r="BH852" t="s">
        <v>74</v>
      </c>
      <c r="BI852">
        <v>5</v>
      </c>
      <c r="BJ852" t="s">
        <v>1856</v>
      </c>
      <c r="BK852" t="s">
        <v>103</v>
      </c>
      <c r="BL852" t="s">
        <v>1856</v>
      </c>
      <c r="BM852" t="s">
        <v>11625</v>
      </c>
      <c r="BN852" t="s">
        <v>74</v>
      </c>
      <c r="BO852" t="s">
        <v>173</v>
      </c>
      <c r="BP852" t="s">
        <v>74</v>
      </c>
      <c r="BQ852" t="s">
        <v>74</v>
      </c>
      <c r="BR852" t="s">
        <v>107</v>
      </c>
      <c r="BS852" t="s">
        <v>11626</v>
      </c>
      <c r="BT852" t="str">
        <f>HYPERLINK("https%3A%2F%2Fwww.webofscience.com%2Fwos%2Fwoscc%2Ffull-record%2FWOS:000179495300002","View Full Record in Web of Science")</f>
        <v>View Full Record in Web of Science</v>
      </c>
    </row>
    <row r="853" spans="1:72" x14ac:dyDescent="0.15">
      <c r="A853" t="s">
        <v>72</v>
      </c>
      <c r="B853" t="s">
        <v>11627</v>
      </c>
      <c r="C853" t="s">
        <v>74</v>
      </c>
      <c r="D853" t="s">
        <v>74</v>
      </c>
      <c r="E853" t="s">
        <v>74</v>
      </c>
      <c r="F853" t="s">
        <v>11627</v>
      </c>
      <c r="G853" t="s">
        <v>74</v>
      </c>
      <c r="H853" t="s">
        <v>74</v>
      </c>
      <c r="I853" t="s">
        <v>11628</v>
      </c>
      <c r="J853" t="s">
        <v>11611</v>
      </c>
      <c r="K853" t="s">
        <v>74</v>
      </c>
      <c r="L853" t="s">
        <v>74</v>
      </c>
      <c r="M853" t="s">
        <v>77</v>
      </c>
      <c r="N853" t="s">
        <v>78</v>
      </c>
      <c r="O853" t="s">
        <v>11612</v>
      </c>
      <c r="P853" t="s">
        <v>11613</v>
      </c>
      <c r="Q853" t="s">
        <v>11614</v>
      </c>
      <c r="R853" t="s">
        <v>74</v>
      </c>
      <c r="S853" t="s">
        <v>74</v>
      </c>
      <c r="T853" t="s">
        <v>11629</v>
      </c>
      <c r="U853" t="s">
        <v>11630</v>
      </c>
      <c r="V853" t="s">
        <v>11631</v>
      </c>
      <c r="W853" t="s">
        <v>11632</v>
      </c>
      <c r="X853" t="s">
        <v>11633</v>
      </c>
      <c r="Y853" t="s">
        <v>11634</v>
      </c>
      <c r="Z853" t="s">
        <v>74</v>
      </c>
      <c r="AA853" t="s">
        <v>11635</v>
      </c>
      <c r="AB853" t="s">
        <v>11636</v>
      </c>
      <c r="AC853" t="s">
        <v>74</v>
      </c>
      <c r="AD853" t="s">
        <v>74</v>
      </c>
      <c r="AE853" t="s">
        <v>74</v>
      </c>
      <c r="AF853" t="s">
        <v>74</v>
      </c>
      <c r="AG853">
        <v>37</v>
      </c>
      <c r="AH853">
        <v>4</v>
      </c>
      <c r="AI853">
        <v>4</v>
      </c>
      <c r="AJ853">
        <v>0</v>
      </c>
      <c r="AK853">
        <v>2</v>
      </c>
      <c r="AL853" t="s">
        <v>2112</v>
      </c>
      <c r="AM853" t="s">
        <v>2113</v>
      </c>
      <c r="AN853" t="s">
        <v>2114</v>
      </c>
      <c r="AO853" t="s">
        <v>11620</v>
      </c>
      <c r="AP853" t="s">
        <v>74</v>
      </c>
      <c r="AQ853" t="s">
        <v>74</v>
      </c>
      <c r="AR853" t="s">
        <v>11622</v>
      </c>
      <c r="AS853" t="s">
        <v>11623</v>
      </c>
      <c r="AT853" t="s">
        <v>74</v>
      </c>
      <c r="AU853">
        <v>2002</v>
      </c>
      <c r="AV853">
        <v>19</v>
      </c>
      <c r="AW853">
        <v>3</v>
      </c>
      <c r="AX853" t="s">
        <v>74</v>
      </c>
      <c r="AY853" t="s">
        <v>74</v>
      </c>
      <c r="AZ853" t="s">
        <v>74</v>
      </c>
      <c r="BA853" t="s">
        <v>74</v>
      </c>
      <c r="BB853">
        <v>306</v>
      </c>
      <c r="BC853">
        <v>312</v>
      </c>
      <c r="BD853" t="s">
        <v>74</v>
      </c>
      <c r="BE853" t="s">
        <v>11637</v>
      </c>
      <c r="BF853" t="str">
        <f>HYPERLINK("http://dx.doi.org/10.1071/AS01076","http://dx.doi.org/10.1071/AS01076")</f>
        <v>http://dx.doi.org/10.1071/AS01076</v>
      </c>
      <c r="BG853" t="s">
        <v>74</v>
      </c>
      <c r="BH853" t="s">
        <v>74</v>
      </c>
      <c r="BI853">
        <v>7</v>
      </c>
      <c r="BJ853" t="s">
        <v>1856</v>
      </c>
      <c r="BK853" t="s">
        <v>744</v>
      </c>
      <c r="BL853" t="s">
        <v>1856</v>
      </c>
      <c r="BM853" t="s">
        <v>11625</v>
      </c>
      <c r="BN853" t="s">
        <v>74</v>
      </c>
      <c r="BO853" t="s">
        <v>173</v>
      </c>
      <c r="BP853" t="s">
        <v>74</v>
      </c>
      <c r="BQ853" t="s">
        <v>74</v>
      </c>
      <c r="BR853" t="s">
        <v>107</v>
      </c>
      <c r="BS853" t="s">
        <v>11638</v>
      </c>
      <c r="BT853" t="str">
        <f>HYPERLINK("https%3A%2F%2Fwww.webofscience.com%2Fwos%2Fwoscc%2Ffull-record%2FWOS:000179495300003","View Full Record in Web of Science")</f>
        <v>View Full Record in Web of Science</v>
      </c>
    </row>
    <row r="854" spans="1:72" x14ac:dyDescent="0.15">
      <c r="A854" t="s">
        <v>72</v>
      </c>
      <c r="B854" t="s">
        <v>11639</v>
      </c>
      <c r="C854" t="s">
        <v>74</v>
      </c>
      <c r="D854" t="s">
        <v>74</v>
      </c>
      <c r="E854" t="s">
        <v>74</v>
      </c>
      <c r="F854" t="s">
        <v>11639</v>
      </c>
      <c r="G854" t="s">
        <v>74</v>
      </c>
      <c r="H854" t="s">
        <v>74</v>
      </c>
      <c r="I854" t="s">
        <v>11640</v>
      </c>
      <c r="J854" t="s">
        <v>11611</v>
      </c>
      <c r="K854" t="s">
        <v>74</v>
      </c>
      <c r="L854" t="s">
        <v>74</v>
      </c>
      <c r="M854" t="s">
        <v>77</v>
      </c>
      <c r="N854" t="s">
        <v>78</v>
      </c>
      <c r="O854" t="s">
        <v>11612</v>
      </c>
      <c r="P854" t="s">
        <v>11613</v>
      </c>
      <c r="Q854" t="s">
        <v>11614</v>
      </c>
      <c r="R854" t="s">
        <v>74</v>
      </c>
      <c r="S854" t="s">
        <v>74</v>
      </c>
      <c r="T854" t="s">
        <v>11641</v>
      </c>
      <c r="U854" t="s">
        <v>11642</v>
      </c>
      <c r="V854" t="s">
        <v>11643</v>
      </c>
      <c r="W854" t="s">
        <v>11644</v>
      </c>
      <c r="X854" t="s">
        <v>11645</v>
      </c>
      <c r="Y854" t="s">
        <v>11646</v>
      </c>
      <c r="Z854" t="s">
        <v>74</v>
      </c>
      <c r="AA854" t="s">
        <v>11647</v>
      </c>
      <c r="AB854" t="s">
        <v>11648</v>
      </c>
      <c r="AC854" t="s">
        <v>74</v>
      </c>
      <c r="AD854" t="s">
        <v>74</v>
      </c>
      <c r="AE854" t="s">
        <v>74</v>
      </c>
      <c r="AF854" t="s">
        <v>74</v>
      </c>
      <c r="AG854">
        <v>24</v>
      </c>
      <c r="AH854">
        <v>3</v>
      </c>
      <c r="AI854">
        <v>3</v>
      </c>
      <c r="AJ854">
        <v>0</v>
      </c>
      <c r="AK854">
        <v>1</v>
      </c>
      <c r="AL854" t="s">
        <v>753</v>
      </c>
      <c r="AM854" t="s">
        <v>195</v>
      </c>
      <c r="AN854" t="s">
        <v>803</v>
      </c>
      <c r="AO854" t="s">
        <v>11620</v>
      </c>
      <c r="AP854" t="s">
        <v>11621</v>
      </c>
      <c r="AQ854" t="s">
        <v>74</v>
      </c>
      <c r="AR854" t="s">
        <v>11622</v>
      </c>
      <c r="AS854" t="s">
        <v>11623</v>
      </c>
      <c r="AT854" t="s">
        <v>74</v>
      </c>
      <c r="AU854">
        <v>2002</v>
      </c>
      <c r="AV854">
        <v>19</v>
      </c>
      <c r="AW854">
        <v>3</v>
      </c>
      <c r="AX854" t="s">
        <v>74</v>
      </c>
      <c r="AY854" t="s">
        <v>74</v>
      </c>
      <c r="AZ854" t="s">
        <v>74</v>
      </c>
      <c r="BA854" t="s">
        <v>74</v>
      </c>
      <c r="BB854">
        <v>313</v>
      </c>
      <c r="BC854">
        <v>317</v>
      </c>
      <c r="BD854" t="s">
        <v>74</v>
      </c>
      <c r="BE854" t="s">
        <v>11649</v>
      </c>
      <c r="BF854" t="str">
        <f>HYPERLINK("http://dx.doi.org/10.1071/AS01074","http://dx.doi.org/10.1071/AS01074")</f>
        <v>http://dx.doi.org/10.1071/AS01074</v>
      </c>
      <c r="BG854" t="s">
        <v>74</v>
      </c>
      <c r="BH854" t="s">
        <v>74</v>
      </c>
      <c r="BI854">
        <v>5</v>
      </c>
      <c r="BJ854" t="s">
        <v>1856</v>
      </c>
      <c r="BK854" t="s">
        <v>103</v>
      </c>
      <c r="BL854" t="s">
        <v>1856</v>
      </c>
      <c r="BM854" t="s">
        <v>11625</v>
      </c>
      <c r="BN854" t="s">
        <v>74</v>
      </c>
      <c r="BO854" t="s">
        <v>173</v>
      </c>
      <c r="BP854" t="s">
        <v>74</v>
      </c>
      <c r="BQ854" t="s">
        <v>74</v>
      </c>
      <c r="BR854" t="s">
        <v>107</v>
      </c>
      <c r="BS854" t="s">
        <v>11650</v>
      </c>
      <c r="BT854" t="str">
        <f>HYPERLINK("https%3A%2F%2Fwww.webofscience.com%2Fwos%2Fwoscc%2Ffull-record%2FWOS:000179495300004","View Full Record in Web of Science")</f>
        <v>View Full Record in Web of Science</v>
      </c>
    </row>
    <row r="855" spans="1:72" x14ac:dyDescent="0.15">
      <c r="A855" t="s">
        <v>72</v>
      </c>
      <c r="B855" t="s">
        <v>11651</v>
      </c>
      <c r="C855" t="s">
        <v>74</v>
      </c>
      <c r="D855" t="s">
        <v>74</v>
      </c>
      <c r="E855" t="s">
        <v>74</v>
      </c>
      <c r="F855" t="s">
        <v>11651</v>
      </c>
      <c r="G855" t="s">
        <v>74</v>
      </c>
      <c r="H855" t="s">
        <v>74</v>
      </c>
      <c r="I855" t="s">
        <v>11652</v>
      </c>
      <c r="J855" t="s">
        <v>11611</v>
      </c>
      <c r="K855" t="s">
        <v>74</v>
      </c>
      <c r="L855" t="s">
        <v>74</v>
      </c>
      <c r="M855" t="s">
        <v>77</v>
      </c>
      <c r="N855" t="s">
        <v>78</v>
      </c>
      <c r="O855" t="s">
        <v>11612</v>
      </c>
      <c r="P855" t="s">
        <v>11613</v>
      </c>
      <c r="Q855" t="s">
        <v>11614</v>
      </c>
      <c r="R855" t="s">
        <v>74</v>
      </c>
      <c r="S855" t="s">
        <v>74</v>
      </c>
      <c r="T855" t="s">
        <v>11653</v>
      </c>
      <c r="U855" t="s">
        <v>11654</v>
      </c>
      <c r="V855" t="s">
        <v>11655</v>
      </c>
      <c r="W855" t="s">
        <v>11656</v>
      </c>
      <c r="X855" t="s">
        <v>11657</v>
      </c>
      <c r="Y855" t="s">
        <v>11658</v>
      </c>
      <c r="Z855" t="s">
        <v>74</v>
      </c>
      <c r="AA855" t="s">
        <v>11659</v>
      </c>
      <c r="AB855" t="s">
        <v>11660</v>
      </c>
      <c r="AC855" t="s">
        <v>74</v>
      </c>
      <c r="AD855" t="s">
        <v>74</v>
      </c>
      <c r="AE855" t="s">
        <v>74</v>
      </c>
      <c r="AF855" t="s">
        <v>74</v>
      </c>
      <c r="AG855">
        <v>14</v>
      </c>
      <c r="AH855">
        <v>26</v>
      </c>
      <c r="AI855">
        <v>26</v>
      </c>
      <c r="AJ855">
        <v>0</v>
      </c>
      <c r="AK855">
        <v>1</v>
      </c>
      <c r="AL855" t="s">
        <v>2112</v>
      </c>
      <c r="AM855" t="s">
        <v>2113</v>
      </c>
      <c r="AN855" t="s">
        <v>2114</v>
      </c>
      <c r="AO855" t="s">
        <v>11620</v>
      </c>
      <c r="AP855" t="s">
        <v>74</v>
      </c>
      <c r="AQ855" t="s">
        <v>74</v>
      </c>
      <c r="AR855" t="s">
        <v>11622</v>
      </c>
      <c r="AS855" t="s">
        <v>11623</v>
      </c>
      <c r="AT855" t="s">
        <v>74</v>
      </c>
      <c r="AU855">
        <v>2002</v>
      </c>
      <c r="AV855">
        <v>19</v>
      </c>
      <c r="AW855">
        <v>3</v>
      </c>
      <c r="AX855" t="s">
        <v>74</v>
      </c>
      <c r="AY855" t="s">
        <v>74</v>
      </c>
      <c r="AZ855" t="s">
        <v>74</v>
      </c>
      <c r="BA855" t="s">
        <v>74</v>
      </c>
      <c r="BB855">
        <v>318</v>
      </c>
      <c r="BC855">
        <v>322</v>
      </c>
      <c r="BD855" t="s">
        <v>74</v>
      </c>
      <c r="BE855" t="s">
        <v>11661</v>
      </c>
      <c r="BF855" t="str">
        <f>HYPERLINK("http://dx.doi.org/10.1071/AS01072","http://dx.doi.org/10.1071/AS01072")</f>
        <v>http://dx.doi.org/10.1071/AS01072</v>
      </c>
      <c r="BG855" t="s">
        <v>74</v>
      </c>
      <c r="BH855" t="s">
        <v>74</v>
      </c>
      <c r="BI855">
        <v>5</v>
      </c>
      <c r="BJ855" t="s">
        <v>1856</v>
      </c>
      <c r="BK855" t="s">
        <v>744</v>
      </c>
      <c r="BL855" t="s">
        <v>1856</v>
      </c>
      <c r="BM855" t="s">
        <v>11625</v>
      </c>
      <c r="BN855" t="s">
        <v>74</v>
      </c>
      <c r="BO855" t="s">
        <v>1767</v>
      </c>
      <c r="BP855" t="s">
        <v>74</v>
      </c>
      <c r="BQ855" t="s">
        <v>74</v>
      </c>
      <c r="BR855" t="s">
        <v>107</v>
      </c>
      <c r="BS855" t="s">
        <v>11662</v>
      </c>
      <c r="BT855" t="str">
        <f>HYPERLINK("https%3A%2F%2Fwww.webofscience.com%2Fwos%2Fwoscc%2Ffull-record%2FWOS:000179495300005","View Full Record in Web of Science")</f>
        <v>View Full Record in Web of Science</v>
      </c>
    </row>
    <row r="856" spans="1:72" x14ac:dyDescent="0.15">
      <c r="A856" t="s">
        <v>72</v>
      </c>
      <c r="B856" t="s">
        <v>11663</v>
      </c>
      <c r="C856" t="s">
        <v>74</v>
      </c>
      <c r="D856" t="s">
        <v>74</v>
      </c>
      <c r="E856" t="s">
        <v>74</v>
      </c>
      <c r="F856" t="s">
        <v>11663</v>
      </c>
      <c r="G856" t="s">
        <v>74</v>
      </c>
      <c r="H856" t="s">
        <v>74</v>
      </c>
      <c r="I856" t="s">
        <v>11664</v>
      </c>
      <c r="J856" t="s">
        <v>11611</v>
      </c>
      <c r="K856" t="s">
        <v>74</v>
      </c>
      <c r="L856" t="s">
        <v>74</v>
      </c>
      <c r="M856" t="s">
        <v>77</v>
      </c>
      <c r="N856" t="s">
        <v>78</v>
      </c>
      <c r="O856" t="s">
        <v>11612</v>
      </c>
      <c r="P856" t="s">
        <v>11613</v>
      </c>
      <c r="Q856" t="s">
        <v>11614</v>
      </c>
      <c r="R856" t="s">
        <v>74</v>
      </c>
      <c r="S856" t="s">
        <v>74</v>
      </c>
      <c r="T856" t="s">
        <v>11665</v>
      </c>
      <c r="U856" t="s">
        <v>11666</v>
      </c>
      <c r="V856" t="s">
        <v>11667</v>
      </c>
      <c r="W856" t="s">
        <v>11668</v>
      </c>
      <c r="X856" t="s">
        <v>11669</v>
      </c>
      <c r="Y856" t="s">
        <v>11670</v>
      </c>
      <c r="Z856" t="s">
        <v>74</v>
      </c>
      <c r="AA856" t="s">
        <v>11671</v>
      </c>
      <c r="AB856" t="s">
        <v>11672</v>
      </c>
      <c r="AC856" t="s">
        <v>74</v>
      </c>
      <c r="AD856" t="s">
        <v>74</v>
      </c>
      <c r="AE856" t="s">
        <v>74</v>
      </c>
      <c r="AF856" t="s">
        <v>74</v>
      </c>
      <c r="AG856">
        <v>11</v>
      </c>
      <c r="AH856">
        <v>1</v>
      </c>
      <c r="AI856">
        <v>1</v>
      </c>
      <c r="AJ856">
        <v>0</v>
      </c>
      <c r="AK856">
        <v>3</v>
      </c>
      <c r="AL856" t="s">
        <v>10276</v>
      </c>
      <c r="AM856" t="s">
        <v>2113</v>
      </c>
      <c r="AN856" t="s">
        <v>2114</v>
      </c>
      <c r="AO856" t="s">
        <v>11620</v>
      </c>
      <c r="AP856" t="s">
        <v>74</v>
      </c>
      <c r="AQ856" t="s">
        <v>74</v>
      </c>
      <c r="AR856" t="s">
        <v>11622</v>
      </c>
      <c r="AS856" t="s">
        <v>11623</v>
      </c>
      <c r="AT856" t="s">
        <v>74</v>
      </c>
      <c r="AU856">
        <v>2002</v>
      </c>
      <c r="AV856">
        <v>19</v>
      </c>
      <c r="AW856">
        <v>3</v>
      </c>
      <c r="AX856" t="s">
        <v>74</v>
      </c>
      <c r="AY856" t="s">
        <v>74</v>
      </c>
      <c r="AZ856" t="s">
        <v>74</v>
      </c>
      <c r="BA856" t="s">
        <v>74</v>
      </c>
      <c r="BB856">
        <v>323</v>
      </c>
      <c r="BC856">
        <v>327</v>
      </c>
      <c r="BD856" t="s">
        <v>74</v>
      </c>
      <c r="BE856" t="s">
        <v>11673</v>
      </c>
      <c r="BF856" t="str">
        <f>HYPERLINK("http://dx.doi.org/10.1071/AS01073","http://dx.doi.org/10.1071/AS01073")</f>
        <v>http://dx.doi.org/10.1071/AS01073</v>
      </c>
      <c r="BG856" t="s">
        <v>74</v>
      </c>
      <c r="BH856" t="s">
        <v>74</v>
      </c>
      <c r="BI856">
        <v>5</v>
      </c>
      <c r="BJ856" t="s">
        <v>1856</v>
      </c>
      <c r="BK856" t="s">
        <v>103</v>
      </c>
      <c r="BL856" t="s">
        <v>1856</v>
      </c>
      <c r="BM856" t="s">
        <v>11625</v>
      </c>
      <c r="BN856" t="s">
        <v>74</v>
      </c>
      <c r="BO856" t="s">
        <v>173</v>
      </c>
      <c r="BP856" t="s">
        <v>74</v>
      </c>
      <c r="BQ856" t="s">
        <v>74</v>
      </c>
      <c r="BR856" t="s">
        <v>107</v>
      </c>
      <c r="BS856" t="s">
        <v>11674</v>
      </c>
      <c r="BT856" t="str">
        <f>HYPERLINK("https%3A%2F%2Fwww.webofscience.com%2Fwos%2Fwoscc%2Ffull-record%2FWOS:000179495300006","View Full Record in Web of Science")</f>
        <v>View Full Record in Web of Science</v>
      </c>
    </row>
    <row r="857" spans="1:72" x14ac:dyDescent="0.15">
      <c r="A857" t="s">
        <v>72</v>
      </c>
      <c r="B857" t="s">
        <v>11675</v>
      </c>
      <c r="C857" t="s">
        <v>74</v>
      </c>
      <c r="D857" t="s">
        <v>74</v>
      </c>
      <c r="E857" t="s">
        <v>74</v>
      </c>
      <c r="F857" t="s">
        <v>11675</v>
      </c>
      <c r="G857" t="s">
        <v>74</v>
      </c>
      <c r="H857" t="s">
        <v>74</v>
      </c>
      <c r="I857" t="s">
        <v>11676</v>
      </c>
      <c r="J857" t="s">
        <v>11611</v>
      </c>
      <c r="K857" t="s">
        <v>74</v>
      </c>
      <c r="L857" t="s">
        <v>74</v>
      </c>
      <c r="M857" t="s">
        <v>77</v>
      </c>
      <c r="N857" t="s">
        <v>78</v>
      </c>
      <c r="O857" t="s">
        <v>11612</v>
      </c>
      <c r="P857" t="s">
        <v>11613</v>
      </c>
      <c r="Q857" t="s">
        <v>11614</v>
      </c>
      <c r="R857" t="s">
        <v>74</v>
      </c>
      <c r="S857" t="s">
        <v>74</v>
      </c>
      <c r="T857" t="s">
        <v>11677</v>
      </c>
      <c r="U857" t="s">
        <v>11678</v>
      </c>
      <c r="V857" t="s">
        <v>11679</v>
      </c>
      <c r="W857" t="s">
        <v>11680</v>
      </c>
      <c r="X857" t="s">
        <v>11681</v>
      </c>
      <c r="Y857" t="s">
        <v>11682</v>
      </c>
      <c r="Z857" t="s">
        <v>74</v>
      </c>
      <c r="AA857" t="s">
        <v>74</v>
      </c>
      <c r="AB857" t="s">
        <v>11683</v>
      </c>
      <c r="AC857" t="s">
        <v>74</v>
      </c>
      <c r="AD857" t="s">
        <v>74</v>
      </c>
      <c r="AE857" t="s">
        <v>74</v>
      </c>
      <c r="AF857" t="s">
        <v>74</v>
      </c>
      <c r="AG857">
        <v>26</v>
      </c>
      <c r="AH857">
        <v>17</v>
      </c>
      <c r="AI857">
        <v>17</v>
      </c>
      <c r="AJ857">
        <v>0</v>
      </c>
      <c r="AK857">
        <v>2</v>
      </c>
      <c r="AL857" t="s">
        <v>2112</v>
      </c>
      <c r="AM857" t="s">
        <v>2113</v>
      </c>
      <c r="AN857" t="s">
        <v>2114</v>
      </c>
      <c r="AO857" t="s">
        <v>11620</v>
      </c>
      <c r="AP857" t="s">
        <v>74</v>
      </c>
      <c r="AQ857" t="s">
        <v>74</v>
      </c>
      <c r="AR857" t="s">
        <v>11622</v>
      </c>
      <c r="AS857" t="s">
        <v>11623</v>
      </c>
      <c r="AT857" t="s">
        <v>74</v>
      </c>
      <c r="AU857">
        <v>2002</v>
      </c>
      <c r="AV857">
        <v>19</v>
      </c>
      <c r="AW857">
        <v>3</v>
      </c>
      <c r="AX857" t="s">
        <v>74</v>
      </c>
      <c r="AY857" t="s">
        <v>74</v>
      </c>
      <c r="AZ857" t="s">
        <v>74</v>
      </c>
      <c r="BA857" t="s">
        <v>74</v>
      </c>
      <c r="BB857">
        <v>328</v>
      </c>
      <c r="BC857">
        <v>336</v>
      </c>
      <c r="BD857" t="s">
        <v>74</v>
      </c>
      <c r="BE857" t="s">
        <v>11684</v>
      </c>
      <c r="BF857" t="str">
        <f>HYPERLINK("http://dx.doi.org/10.1071/AS02020","http://dx.doi.org/10.1071/AS02020")</f>
        <v>http://dx.doi.org/10.1071/AS02020</v>
      </c>
      <c r="BG857" t="s">
        <v>74</v>
      </c>
      <c r="BH857" t="s">
        <v>74</v>
      </c>
      <c r="BI857">
        <v>9</v>
      </c>
      <c r="BJ857" t="s">
        <v>1856</v>
      </c>
      <c r="BK857" t="s">
        <v>744</v>
      </c>
      <c r="BL857" t="s">
        <v>1856</v>
      </c>
      <c r="BM857" t="s">
        <v>11625</v>
      </c>
      <c r="BN857" t="s">
        <v>74</v>
      </c>
      <c r="BO857" t="s">
        <v>173</v>
      </c>
      <c r="BP857" t="s">
        <v>74</v>
      </c>
      <c r="BQ857" t="s">
        <v>74</v>
      </c>
      <c r="BR857" t="s">
        <v>107</v>
      </c>
      <c r="BS857" t="s">
        <v>11685</v>
      </c>
      <c r="BT857" t="str">
        <f>HYPERLINK("https%3A%2F%2Fwww.webofscience.com%2Fwos%2Fwoscc%2Ffull-record%2FWOS:000179495300007","View Full Record in Web of Science")</f>
        <v>View Full Record in Web of Science</v>
      </c>
    </row>
    <row r="858" spans="1:72" x14ac:dyDescent="0.15">
      <c r="A858" t="s">
        <v>72</v>
      </c>
      <c r="B858" t="s">
        <v>11686</v>
      </c>
      <c r="C858" t="s">
        <v>74</v>
      </c>
      <c r="D858" t="s">
        <v>74</v>
      </c>
      <c r="E858" t="s">
        <v>74</v>
      </c>
      <c r="F858" t="s">
        <v>11686</v>
      </c>
      <c r="G858" t="s">
        <v>74</v>
      </c>
      <c r="H858" t="s">
        <v>74</v>
      </c>
      <c r="I858" t="s">
        <v>11687</v>
      </c>
      <c r="J858" t="s">
        <v>11688</v>
      </c>
      <c r="K858" t="s">
        <v>74</v>
      </c>
      <c r="L858" t="s">
        <v>74</v>
      </c>
      <c r="M858" t="s">
        <v>77</v>
      </c>
      <c r="N858" t="s">
        <v>153</v>
      </c>
      <c r="O858" t="s">
        <v>74</v>
      </c>
      <c r="P858" t="s">
        <v>74</v>
      </c>
      <c r="Q858" t="s">
        <v>74</v>
      </c>
      <c r="R858" t="s">
        <v>74</v>
      </c>
      <c r="S858" t="s">
        <v>74</v>
      </c>
      <c r="T858" t="s">
        <v>11689</v>
      </c>
      <c r="U858" t="s">
        <v>11690</v>
      </c>
      <c r="V858" t="s">
        <v>11691</v>
      </c>
      <c r="W858" t="s">
        <v>11692</v>
      </c>
      <c r="X858" t="s">
        <v>74</v>
      </c>
      <c r="Y858" t="s">
        <v>11693</v>
      </c>
      <c r="Z858" t="s">
        <v>11694</v>
      </c>
      <c r="AA858" t="s">
        <v>7114</v>
      </c>
      <c r="AB858" t="s">
        <v>74</v>
      </c>
      <c r="AC858" t="s">
        <v>74</v>
      </c>
      <c r="AD858" t="s">
        <v>74</v>
      </c>
      <c r="AE858" t="s">
        <v>74</v>
      </c>
      <c r="AF858" t="s">
        <v>74</v>
      </c>
      <c r="AG858">
        <v>70</v>
      </c>
      <c r="AH858">
        <v>47</v>
      </c>
      <c r="AI858">
        <v>54</v>
      </c>
      <c r="AJ858">
        <v>1</v>
      </c>
      <c r="AK858">
        <v>8</v>
      </c>
      <c r="AL858" t="s">
        <v>753</v>
      </c>
      <c r="AM858" t="s">
        <v>195</v>
      </c>
      <c r="AN858" t="s">
        <v>803</v>
      </c>
      <c r="AO858" t="s">
        <v>11695</v>
      </c>
      <c r="AP858" t="s">
        <v>11696</v>
      </c>
      <c r="AQ858" t="s">
        <v>74</v>
      </c>
      <c r="AR858" t="s">
        <v>11697</v>
      </c>
      <c r="AS858" t="s">
        <v>11698</v>
      </c>
      <c r="AT858" t="s">
        <v>7127</v>
      </c>
      <c r="AU858">
        <v>2002</v>
      </c>
      <c r="AV858">
        <v>57</v>
      </c>
      <c r="AW858">
        <v>1</v>
      </c>
      <c r="AX858" t="s">
        <v>74</v>
      </c>
      <c r="AY858" t="s">
        <v>74</v>
      </c>
      <c r="AZ858" t="s">
        <v>74</v>
      </c>
      <c r="BA858" t="s">
        <v>74</v>
      </c>
      <c r="BB858">
        <v>151</v>
      </c>
      <c r="BC858">
        <v>161</v>
      </c>
      <c r="BD858" t="s">
        <v>74</v>
      </c>
      <c r="BE858" t="s">
        <v>11699</v>
      </c>
      <c r="BF858" t="str">
        <f>HYPERLINK("http://dx.doi.org/10.1006/qres.2001.2279","http://dx.doi.org/10.1006/qres.2001.2279")</f>
        <v>http://dx.doi.org/10.1006/qres.2001.2279</v>
      </c>
      <c r="BG858" t="s">
        <v>74</v>
      </c>
      <c r="BH858" t="s">
        <v>74</v>
      </c>
      <c r="BI858">
        <v>11</v>
      </c>
      <c r="BJ858" t="s">
        <v>1218</v>
      </c>
      <c r="BK858" t="s">
        <v>170</v>
      </c>
      <c r="BL858" t="s">
        <v>224</v>
      </c>
      <c r="BM858" t="s">
        <v>11700</v>
      </c>
      <c r="BN858" t="s">
        <v>74</v>
      </c>
      <c r="BO858" t="s">
        <v>74</v>
      </c>
      <c r="BP858" t="s">
        <v>74</v>
      </c>
      <c r="BQ858" t="s">
        <v>74</v>
      </c>
      <c r="BR858" t="s">
        <v>107</v>
      </c>
      <c r="BS858" t="s">
        <v>11701</v>
      </c>
      <c r="BT858" t="str">
        <f>HYPERLINK("https%3A%2F%2Fwww.webofscience.com%2Fwos%2Fwoscc%2Ffull-record%2FWOS:000173633700017","View Full Record in Web of Science")</f>
        <v>View Full Record in Web of Science</v>
      </c>
    </row>
    <row r="859" spans="1:72" x14ac:dyDescent="0.15">
      <c r="A859" t="s">
        <v>72</v>
      </c>
      <c r="B859" t="s">
        <v>11702</v>
      </c>
      <c r="C859" t="s">
        <v>74</v>
      </c>
      <c r="D859" t="s">
        <v>74</v>
      </c>
      <c r="E859" t="s">
        <v>74</v>
      </c>
      <c r="F859" t="s">
        <v>11702</v>
      </c>
      <c r="G859" t="s">
        <v>74</v>
      </c>
      <c r="H859" t="s">
        <v>74</v>
      </c>
      <c r="I859" t="s">
        <v>11703</v>
      </c>
      <c r="J859" t="s">
        <v>3040</v>
      </c>
      <c r="K859" t="s">
        <v>74</v>
      </c>
      <c r="L859" t="s">
        <v>74</v>
      </c>
      <c r="M859" t="s">
        <v>77</v>
      </c>
      <c r="N859" t="s">
        <v>153</v>
      </c>
      <c r="O859" t="s">
        <v>74</v>
      </c>
      <c r="P859" t="s">
        <v>74</v>
      </c>
      <c r="Q859" t="s">
        <v>74</v>
      </c>
      <c r="R859" t="s">
        <v>74</v>
      </c>
      <c r="S859" t="s">
        <v>74</v>
      </c>
      <c r="T859" t="s">
        <v>74</v>
      </c>
      <c r="U859" t="s">
        <v>11704</v>
      </c>
      <c r="V859" t="s">
        <v>11705</v>
      </c>
      <c r="W859" t="s">
        <v>11706</v>
      </c>
      <c r="X859" t="s">
        <v>11707</v>
      </c>
      <c r="Y859" t="s">
        <v>11708</v>
      </c>
      <c r="Z859" t="s">
        <v>11709</v>
      </c>
      <c r="AA859" t="s">
        <v>11710</v>
      </c>
      <c r="AB859" t="s">
        <v>74</v>
      </c>
      <c r="AC859" t="s">
        <v>74</v>
      </c>
      <c r="AD859" t="s">
        <v>74</v>
      </c>
      <c r="AE859" t="s">
        <v>74</v>
      </c>
      <c r="AF859" t="s">
        <v>74</v>
      </c>
      <c r="AG859">
        <v>88</v>
      </c>
      <c r="AH859">
        <v>350</v>
      </c>
      <c r="AI859">
        <v>405</v>
      </c>
      <c r="AJ859">
        <v>1</v>
      </c>
      <c r="AK859">
        <v>91</v>
      </c>
      <c r="AL859" t="s">
        <v>1013</v>
      </c>
      <c r="AM859" t="s">
        <v>895</v>
      </c>
      <c r="AN859" t="s">
        <v>1014</v>
      </c>
      <c r="AO859" t="s">
        <v>3048</v>
      </c>
      <c r="AP859" t="s">
        <v>74</v>
      </c>
      <c r="AQ859" t="s">
        <v>74</v>
      </c>
      <c r="AR859" t="s">
        <v>3049</v>
      </c>
      <c r="AS859" t="s">
        <v>3050</v>
      </c>
      <c r="AT859" t="s">
        <v>7127</v>
      </c>
      <c r="AU859">
        <v>2002</v>
      </c>
      <c r="AV859">
        <v>21</v>
      </c>
      <c r="AW859" t="s">
        <v>3240</v>
      </c>
      <c r="AX859" t="s">
        <v>74</v>
      </c>
      <c r="AY859" t="s">
        <v>74</v>
      </c>
      <c r="AZ859" t="s">
        <v>74</v>
      </c>
      <c r="BA859" t="s">
        <v>74</v>
      </c>
      <c r="BB859">
        <v>49</v>
      </c>
      <c r="BC859">
        <v>70</v>
      </c>
      <c r="BD859" t="s">
        <v>74</v>
      </c>
      <c r="BE859" t="s">
        <v>11711</v>
      </c>
      <c r="BF859" t="str">
        <f>HYPERLINK("http://dx.doi.org/10.1016/S0277-3791(01)00083-X","http://dx.doi.org/10.1016/S0277-3791(01)00083-X")</f>
        <v>http://dx.doi.org/10.1016/S0277-3791(01)00083-X</v>
      </c>
      <c r="BG859" t="s">
        <v>74</v>
      </c>
      <c r="BH859" t="s">
        <v>74</v>
      </c>
      <c r="BI859">
        <v>22</v>
      </c>
      <c r="BJ859" t="s">
        <v>1218</v>
      </c>
      <c r="BK859" t="s">
        <v>170</v>
      </c>
      <c r="BL859" t="s">
        <v>224</v>
      </c>
      <c r="BM859" t="s">
        <v>11712</v>
      </c>
      <c r="BN859" t="s">
        <v>74</v>
      </c>
      <c r="BO859" t="s">
        <v>74</v>
      </c>
      <c r="BP859" t="s">
        <v>74</v>
      </c>
      <c r="BQ859" t="s">
        <v>74</v>
      </c>
      <c r="BR859" t="s">
        <v>107</v>
      </c>
      <c r="BS859" t="s">
        <v>11713</v>
      </c>
      <c r="BT859" t="str">
        <f>HYPERLINK("https%3A%2F%2Fwww.webofscience.com%2Fwos%2Fwoscc%2Ffull-record%2FWOS:000173083700004","View Full Record in Web of Science")</f>
        <v>View Full Record in Web of Science</v>
      </c>
    </row>
    <row r="860" spans="1:72" x14ac:dyDescent="0.15">
      <c r="A860" t="s">
        <v>72</v>
      </c>
      <c r="B860" t="s">
        <v>11714</v>
      </c>
      <c r="C860" t="s">
        <v>74</v>
      </c>
      <c r="D860" t="s">
        <v>74</v>
      </c>
      <c r="E860" t="s">
        <v>74</v>
      </c>
      <c r="F860" t="s">
        <v>11714</v>
      </c>
      <c r="G860" t="s">
        <v>74</v>
      </c>
      <c r="H860" t="s">
        <v>74</v>
      </c>
      <c r="I860" t="s">
        <v>11715</v>
      </c>
      <c r="J860" t="s">
        <v>3040</v>
      </c>
      <c r="K860" t="s">
        <v>74</v>
      </c>
      <c r="L860" t="s">
        <v>74</v>
      </c>
      <c r="M860" t="s">
        <v>77</v>
      </c>
      <c r="N860" t="s">
        <v>947</v>
      </c>
      <c r="O860" t="s">
        <v>74</v>
      </c>
      <c r="P860" t="s">
        <v>74</v>
      </c>
      <c r="Q860" t="s">
        <v>74</v>
      </c>
      <c r="R860" t="s">
        <v>74</v>
      </c>
      <c r="S860" t="s">
        <v>74</v>
      </c>
      <c r="T860" t="s">
        <v>74</v>
      </c>
      <c r="U860" t="s">
        <v>11716</v>
      </c>
      <c r="V860" t="s">
        <v>11717</v>
      </c>
      <c r="W860" t="s">
        <v>11718</v>
      </c>
      <c r="X860" t="s">
        <v>11719</v>
      </c>
      <c r="Y860" t="s">
        <v>11720</v>
      </c>
      <c r="Z860" t="s">
        <v>11721</v>
      </c>
      <c r="AA860" t="s">
        <v>6970</v>
      </c>
      <c r="AB860" t="s">
        <v>74</v>
      </c>
      <c r="AC860" t="s">
        <v>74</v>
      </c>
      <c r="AD860" t="s">
        <v>74</v>
      </c>
      <c r="AE860" t="s">
        <v>74</v>
      </c>
      <c r="AF860" t="s">
        <v>74</v>
      </c>
      <c r="AG860">
        <v>111</v>
      </c>
      <c r="AH860">
        <v>103</v>
      </c>
      <c r="AI860">
        <v>116</v>
      </c>
      <c r="AJ860">
        <v>0</v>
      </c>
      <c r="AK860">
        <v>24</v>
      </c>
      <c r="AL860" t="s">
        <v>1013</v>
      </c>
      <c r="AM860" t="s">
        <v>895</v>
      </c>
      <c r="AN860" t="s">
        <v>1014</v>
      </c>
      <c r="AO860" t="s">
        <v>3048</v>
      </c>
      <c r="AP860" t="s">
        <v>74</v>
      </c>
      <c r="AQ860" t="s">
        <v>74</v>
      </c>
      <c r="AR860" t="s">
        <v>3049</v>
      </c>
      <c r="AS860" t="s">
        <v>3050</v>
      </c>
      <c r="AT860" t="s">
        <v>7127</v>
      </c>
      <c r="AU860">
        <v>2002</v>
      </c>
      <c r="AV860">
        <v>21</v>
      </c>
      <c r="AW860" t="s">
        <v>3240</v>
      </c>
      <c r="AX860" t="s">
        <v>74</v>
      </c>
      <c r="AY860" t="s">
        <v>74</v>
      </c>
      <c r="AZ860" t="s">
        <v>74</v>
      </c>
      <c r="BA860" t="s">
        <v>74</v>
      </c>
      <c r="BB860">
        <v>121</v>
      </c>
      <c r="BC860">
        <v>146</v>
      </c>
      <c r="BD860" t="s">
        <v>74</v>
      </c>
      <c r="BE860" t="s">
        <v>11722</v>
      </c>
      <c r="BF860" t="str">
        <f>HYPERLINK("http://dx.doi.org/10.1016/S0277-3791(01)00078-6","http://dx.doi.org/10.1016/S0277-3791(01)00078-6")</f>
        <v>http://dx.doi.org/10.1016/S0277-3791(01)00078-6</v>
      </c>
      <c r="BG860" t="s">
        <v>74</v>
      </c>
      <c r="BH860" t="s">
        <v>74</v>
      </c>
      <c r="BI860">
        <v>26</v>
      </c>
      <c r="BJ860" t="s">
        <v>1218</v>
      </c>
      <c r="BK860" t="s">
        <v>170</v>
      </c>
      <c r="BL860" t="s">
        <v>224</v>
      </c>
      <c r="BM860" t="s">
        <v>11712</v>
      </c>
      <c r="BN860" t="s">
        <v>74</v>
      </c>
      <c r="BO860" t="s">
        <v>74</v>
      </c>
      <c r="BP860" t="s">
        <v>74</v>
      </c>
      <c r="BQ860" t="s">
        <v>74</v>
      </c>
      <c r="BR860" t="s">
        <v>107</v>
      </c>
      <c r="BS860" t="s">
        <v>11723</v>
      </c>
      <c r="BT860" t="str">
        <f>HYPERLINK("https%3A%2F%2Fwww.webofscience.com%2Fwos%2Fwoscc%2Ffull-record%2FWOS:000173083700009","View Full Record in Web of Science")</f>
        <v>View Full Record in Web of Science</v>
      </c>
    </row>
    <row r="861" spans="1:72" x14ac:dyDescent="0.15">
      <c r="A861" t="s">
        <v>72</v>
      </c>
      <c r="B861" t="s">
        <v>11724</v>
      </c>
      <c r="C861" t="s">
        <v>74</v>
      </c>
      <c r="D861" t="s">
        <v>74</v>
      </c>
      <c r="E861" t="s">
        <v>74</v>
      </c>
      <c r="F861" t="s">
        <v>11724</v>
      </c>
      <c r="G861" t="s">
        <v>74</v>
      </c>
      <c r="H861" t="s">
        <v>74</v>
      </c>
      <c r="I861" t="s">
        <v>11725</v>
      </c>
      <c r="J861" t="s">
        <v>3040</v>
      </c>
      <c r="K861" t="s">
        <v>74</v>
      </c>
      <c r="L861" t="s">
        <v>74</v>
      </c>
      <c r="M861" t="s">
        <v>77</v>
      </c>
      <c r="N861" t="s">
        <v>153</v>
      </c>
      <c r="O861" t="s">
        <v>74</v>
      </c>
      <c r="P861" t="s">
        <v>74</v>
      </c>
      <c r="Q861" t="s">
        <v>74</v>
      </c>
      <c r="R861" t="s">
        <v>74</v>
      </c>
      <c r="S861" t="s">
        <v>74</v>
      </c>
      <c r="T861" t="s">
        <v>74</v>
      </c>
      <c r="U861" t="s">
        <v>11726</v>
      </c>
      <c r="V861" t="s">
        <v>11727</v>
      </c>
      <c r="W861" t="s">
        <v>11728</v>
      </c>
      <c r="X861" t="s">
        <v>11729</v>
      </c>
      <c r="Y861" t="s">
        <v>11730</v>
      </c>
      <c r="Z861" t="s">
        <v>74</v>
      </c>
      <c r="AA861" t="s">
        <v>11731</v>
      </c>
      <c r="AB861" t="s">
        <v>11732</v>
      </c>
      <c r="AC861" t="s">
        <v>74</v>
      </c>
      <c r="AD861" t="s">
        <v>74</v>
      </c>
      <c r="AE861" t="s">
        <v>74</v>
      </c>
      <c r="AF861" t="s">
        <v>74</v>
      </c>
      <c r="AG861">
        <v>47</v>
      </c>
      <c r="AH861">
        <v>183</v>
      </c>
      <c r="AI861">
        <v>197</v>
      </c>
      <c r="AJ861">
        <v>0</v>
      </c>
      <c r="AK861">
        <v>34</v>
      </c>
      <c r="AL861" t="s">
        <v>1013</v>
      </c>
      <c r="AM861" t="s">
        <v>895</v>
      </c>
      <c r="AN861" t="s">
        <v>1014</v>
      </c>
      <c r="AO861" t="s">
        <v>3048</v>
      </c>
      <c r="AP861" t="s">
        <v>74</v>
      </c>
      <c r="AQ861" t="s">
        <v>74</v>
      </c>
      <c r="AR861" t="s">
        <v>3049</v>
      </c>
      <c r="AS861" t="s">
        <v>3050</v>
      </c>
      <c r="AT861" t="s">
        <v>7127</v>
      </c>
      <c r="AU861">
        <v>2002</v>
      </c>
      <c r="AV861">
        <v>21</v>
      </c>
      <c r="AW861" t="s">
        <v>3240</v>
      </c>
      <c r="AX861" t="s">
        <v>74</v>
      </c>
      <c r="AY861" t="s">
        <v>74</v>
      </c>
      <c r="AZ861" t="s">
        <v>74</v>
      </c>
      <c r="BA861" t="s">
        <v>74</v>
      </c>
      <c r="BB861">
        <v>159</v>
      </c>
      <c r="BC861">
        <v>173</v>
      </c>
      <c r="BD861" t="s">
        <v>74</v>
      </c>
      <c r="BE861" t="s">
        <v>11733</v>
      </c>
      <c r="BF861" t="str">
        <f>HYPERLINK("http://dx.doi.org/10.1016/S0277-3791(01)00109-3","http://dx.doi.org/10.1016/S0277-3791(01)00109-3")</f>
        <v>http://dx.doi.org/10.1016/S0277-3791(01)00109-3</v>
      </c>
      <c r="BG861" t="s">
        <v>74</v>
      </c>
      <c r="BH861" t="s">
        <v>74</v>
      </c>
      <c r="BI861">
        <v>15</v>
      </c>
      <c r="BJ861" t="s">
        <v>1218</v>
      </c>
      <c r="BK861" t="s">
        <v>170</v>
      </c>
      <c r="BL861" t="s">
        <v>224</v>
      </c>
      <c r="BM861" t="s">
        <v>11712</v>
      </c>
      <c r="BN861" t="s">
        <v>74</v>
      </c>
      <c r="BO861" t="s">
        <v>74</v>
      </c>
      <c r="BP861" t="s">
        <v>74</v>
      </c>
      <c r="BQ861" t="s">
        <v>74</v>
      </c>
      <c r="BR861" t="s">
        <v>107</v>
      </c>
      <c r="BS861" t="s">
        <v>11734</v>
      </c>
      <c r="BT861" t="str">
        <f>HYPERLINK("https%3A%2F%2Fwww.webofscience.com%2Fwos%2Fwoscc%2Ffull-record%2FWOS:000173083700011","View Full Record in Web of Science")</f>
        <v>View Full Record in Web of Science</v>
      </c>
    </row>
    <row r="862" spans="1:72" x14ac:dyDescent="0.15">
      <c r="A862" t="s">
        <v>72</v>
      </c>
      <c r="B862" t="s">
        <v>11735</v>
      </c>
      <c r="C862" t="s">
        <v>74</v>
      </c>
      <c r="D862" t="s">
        <v>74</v>
      </c>
      <c r="E862" t="s">
        <v>74</v>
      </c>
      <c r="F862" t="s">
        <v>11735</v>
      </c>
      <c r="G862" t="s">
        <v>74</v>
      </c>
      <c r="H862" t="s">
        <v>74</v>
      </c>
      <c r="I862" t="s">
        <v>11736</v>
      </c>
      <c r="J862" t="s">
        <v>3040</v>
      </c>
      <c r="K862" t="s">
        <v>74</v>
      </c>
      <c r="L862" t="s">
        <v>74</v>
      </c>
      <c r="M862" t="s">
        <v>77</v>
      </c>
      <c r="N862" t="s">
        <v>153</v>
      </c>
      <c r="O862" t="s">
        <v>74</v>
      </c>
      <c r="P862" t="s">
        <v>74</v>
      </c>
      <c r="Q862" t="s">
        <v>74</v>
      </c>
      <c r="R862" t="s">
        <v>74</v>
      </c>
      <c r="S862" t="s">
        <v>74</v>
      </c>
      <c r="T862" t="s">
        <v>74</v>
      </c>
      <c r="U862" t="s">
        <v>11737</v>
      </c>
      <c r="V862" t="s">
        <v>11738</v>
      </c>
      <c r="W862" t="s">
        <v>11739</v>
      </c>
      <c r="X862" t="s">
        <v>2404</v>
      </c>
      <c r="Y862" t="s">
        <v>11740</v>
      </c>
      <c r="Z862" t="s">
        <v>74</v>
      </c>
      <c r="AA862" t="s">
        <v>11741</v>
      </c>
      <c r="AB862" t="s">
        <v>11742</v>
      </c>
      <c r="AC862" t="s">
        <v>74</v>
      </c>
      <c r="AD862" t="s">
        <v>74</v>
      </c>
      <c r="AE862" t="s">
        <v>74</v>
      </c>
      <c r="AF862" t="s">
        <v>74</v>
      </c>
      <c r="AG862">
        <v>40</v>
      </c>
      <c r="AH862">
        <v>162</v>
      </c>
      <c r="AI862">
        <v>193</v>
      </c>
      <c r="AJ862">
        <v>1</v>
      </c>
      <c r="AK862">
        <v>21</v>
      </c>
      <c r="AL862" t="s">
        <v>1013</v>
      </c>
      <c r="AM862" t="s">
        <v>895</v>
      </c>
      <c r="AN862" t="s">
        <v>1014</v>
      </c>
      <c r="AO862" t="s">
        <v>3048</v>
      </c>
      <c r="AP862" t="s">
        <v>74</v>
      </c>
      <c r="AQ862" t="s">
        <v>74</v>
      </c>
      <c r="AR862" t="s">
        <v>3049</v>
      </c>
      <c r="AS862" t="s">
        <v>3050</v>
      </c>
      <c r="AT862" t="s">
        <v>7127</v>
      </c>
      <c r="AU862">
        <v>2002</v>
      </c>
      <c r="AV862">
        <v>21</v>
      </c>
      <c r="AW862" t="s">
        <v>3240</v>
      </c>
      <c r="AX862" t="s">
        <v>74</v>
      </c>
      <c r="AY862" t="s">
        <v>74</v>
      </c>
      <c r="AZ862" t="s">
        <v>74</v>
      </c>
      <c r="BA862" t="s">
        <v>74</v>
      </c>
      <c r="BB862">
        <v>193</v>
      </c>
      <c r="BC862">
        <v>202</v>
      </c>
      <c r="BD862" t="s">
        <v>74</v>
      </c>
      <c r="BE862" t="s">
        <v>11743</v>
      </c>
      <c r="BF862" t="str">
        <f>HYPERLINK("http://dx.doi.org/10.1016/S0277-3791(01)00090-7","http://dx.doi.org/10.1016/S0277-3791(01)00090-7")</f>
        <v>http://dx.doi.org/10.1016/S0277-3791(01)00090-7</v>
      </c>
      <c r="BG862" t="s">
        <v>74</v>
      </c>
      <c r="BH862" t="s">
        <v>74</v>
      </c>
      <c r="BI862">
        <v>10</v>
      </c>
      <c r="BJ862" t="s">
        <v>1218</v>
      </c>
      <c r="BK862" t="s">
        <v>170</v>
      </c>
      <c r="BL862" t="s">
        <v>224</v>
      </c>
      <c r="BM862" t="s">
        <v>11712</v>
      </c>
      <c r="BN862" t="s">
        <v>74</v>
      </c>
      <c r="BO862" t="s">
        <v>74</v>
      </c>
      <c r="BP862" t="s">
        <v>74</v>
      </c>
      <c r="BQ862" t="s">
        <v>74</v>
      </c>
      <c r="BR862" t="s">
        <v>107</v>
      </c>
      <c r="BS862" t="s">
        <v>11744</v>
      </c>
      <c r="BT862" t="str">
        <f>HYPERLINK("https%3A%2F%2Fwww.webofscience.com%2Fwos%2Fwoscc%2Ffull-record%2FWOS:000173083700013","View Full Record in Web of Science")</f>
        <v>View Full Record in Web of Science</v>
      </c>
    </row>
    <row r="863" spans="1:72" x14ac:dyDescent="0.15">
      <c r="A863" t="s">
        <v>72</v>
      </c>
      <c r="B863" t="s">
        <v>11745</v>
      </c>
      <c r="C863" t="s">
        <v>74</v>
      </c>
      <c r="D863" t="s">
        <v>74</v>
      </c>
      <c r="E863" t="s">
        <v>74</v>
      </c>
      <c r="F863" t="s">
        <v>11745</v>
      </c>
      <c r="G863" t="s">
        <v>74</v>
      </c>
      <c r="H863" t="s">
        <v>74</v>
      </c>
      <c r="I863" t="s">
        <v>11746</v>
      </c>
      <c r="J863" t="s">
        <v>3040</v>
      </c>
      <c r="K863" t="s">
        <v>74</v>
      </c>
      <c r="L863" t="s">
        <v>74</v>
      </c>
      <c r="M863" t="s">
        <v>77</v>
      </c>
      <c r="N863" t="s">
        <v>153</v>
      </c>
      <c r="O863" t="s">
        <v>74</v>
      </c>
      <c r="P863" t="s">
        <v>74</v>
      </c>
      <c r="Q863" t="s">
        <v>74</v>
      </c>
      <c r="R863" t="s">
        <v>74</v>
      </c>
      <c r="S863" t="s">
        <v>74</v>
      </c>
      <c r="T863" t="s">
        <v>74</v>
      </c>
      <c r="U863" t="s">
        <v>11747</v>
      </c>
      <c r="V863" t="s">
        <v>11748</v>
      </c>
      <c r="W863" t="s">
        <v>4825</v>
      </c>
      <c r="X863" t="s">
        <v>2368</v>
      </c>
      <c r="Y863" t="s">
        <v>8398</v>
      </c>
      <c r="Z863" t="s">
        <v>11749</v>
      </c>
      <c r="AA863" t="s">
        <v>11750</v>
      </c>
      <c r="AB863" t="s">
        <v>11751</v>
      </c>
      <c r="AC863" t="s">
        <v>74</v>
      </c>
      <c r="AD863" t="s">
        <v>74</v>
      </c>
      <c r="AE863" t="s">
        <v>74</v>
      </c>
      <c r="AF863" t="s">
        <v>74</v>
      </c>
      <c r="AG863">
        <v>84</v>
      </c>
      <c r="AH863">
        <v>417</v>
      </c>
      <c r="AI863">
        <v>463</v>
      </c>
      <c r="AJ863">
        <v>1</v>
      </c>
      <c r="AK863">
        <v>85</v>
      </c>
      <c r="AL863" t="s">
        <v>1013</v>
      </c>
      <c r="AM863" t="s">
        <v>895</v>
      </c>
      <c r="AN863" t="s">
        <v>1014</v>
      </c>
      <c r="AO863" t="s">
        <v>3048</v>
      </c>
      <c r="AP863" t="s">
        <v>74</v>
      </c>
      <c r="AQ863" t="s">
        <v>74</v>
      </c>
      <c r="AR863" t="s">
        <v>3049</v>
      </c>
      <c r="AS863" t="s">
        <v>3050</v>
      </c>
      <c r="AT863" t="s">
        <v>7127</v>
      </c>
      <c r="AU863">
        <v>2002</v>
      </c>
      <c r="AV863">
        <v>21</v>
      </c>
      <c r="AW863" t="s">
        <v>3240</v>
      </c>
      <c r="AX863" t="s">
        <v>74</v>
      </c>
      <c r="AY863" t="s">
        <v>74</v>
      </c>
      <c r="AZ863" t="s">
        <v>74</v>
      </c>
      <c r="BA863" t="s">
        <v>74</v>
      </c>
      <c r="BB863">
        <v>203</v>
      </c>
      <c r="BC863">
        <v>231</v>
      </c>
      <c r="BD863" t="s">
        <v>74</v>
      </c>
      <c r="BE863" t="s">
        <v>11752</v>
      </c>
      <c r="BF863" t="str">
        <f>HYPERLINK("http://dx.doi.org/10.1016/S0277-3791(01)00082-8","http://dx.doi.org/10.1016/S0277-3791(01)00082-8")</f>
        <v>http://dx.doi.org/10.1016/S0277-3791(01)00082-8</v>
      </c>
      <c r="BG863" t="s">
        <v>74</v>
      </c>
      <c r="BH863" t="s">
        <v>74</v>
      </c>
      <c r="BI863">
        <v>29</v>
      </c>
      <c r="BJ863" t="s">
        <v>1218</v>
      </c>
      <c r="BK863" t="s">
        <v>170</v>
      </c>
      <c r="BL863" t="s">
        <v>224</v>
      </c>
      <c r="BM863" t="s">
        <v>11712</v>
      </c>
      <c r="BN863" t="s">
        <v>74</v>
      </c>
      <c r="BO863" t="s">
        <v>106</v>
      </c>
      <c r="BP863" t="s">
        <v>74</v>
      </c>
      <c r="BQ863" t="s">
        <v>74</v>
      </c>
      <c r="BR863" t="s">
        <v>107</v>
      </c>
      <c r="BS863" t="s">
        <v>11753</v>
      </c>
      <c r="BT863" t="str">
        <f>HYPERLINK("https%3A%2F%2Fwww.webofscience.com%2Fwos%2Fwoscc%2Ffull-record%2FWOS:000173083700014","View Full Record in Web of Science")</f>
        <v>View Full Record in Web of Science</v>
      </c>
    </row>
    <row r="864" spans="1:72" x14ac:dyDescent="0.15">
      <c r="A864" t="s">
        <v>72</v>
      </c>
      <c r="B864" t="s">
        <v>11754</v>
      </c>
      <c r="C864" t="s">
        <v>74</v>
      </c>
      <c r="D864" t="s">
        <v>74</v>
      </c>
      <c r="E864" t="s">
        <v>74</v>
      </c>
      <c r="F864" t="s">
        <v>11754</v>
      </c>
      <c r="G864" t="s">
        <v>74</v>
      </c>
      <c r="H864" t="s">
        <v>74</v>
      </c>
      <c r="I864" t="s">
        <v>11755</v>
      </c>
      <c r="J864" t="s">
        <v>3040</v>
      </c>
      <c r="K864" t="s">
        <v>74</v>
      </c>
      <c r="L864" t="s">
        <v>74</v>
      </c>
      <c r="M864" t="s">
        <v>77</v>
      </c>
      <c r="N864" t="s">
        <v>153</v>
      </c>
      <c r="O864" t="s">
        <v>74</v>
      </c>
      <c r="P864" t="s">
        <v>74</v>
      </c>
      <c r="Q864" t="s">
        <v>74</v>
      </c>
      <c r="R864" t="s">
        <v>74</v>
      </c>
      <c r="S864" t="s">
        <v>74</v>
      </c>
      <c r="T864" t="s">
        <v>74</v>
      </c>
      <c r="U864" t="s">
        <v>11756</v>
      </c>
      <c r="V864" t="s">
        <v>11757</v>
      </c>
      <c r="W864" t="s">
        <v>11758</v>
      </c>
      <c r="X864" t="s">
        <v>2404</v>
      </c>
      <c r="Y864" t="s">
        <v>11759</v>
      </c>
      <c r="Z864" t="s">
        <v>74</v>
      </c>
      <c r="AA864" t="s">
        <v>6970</v>
      </c>
      <c r="AB864" t="s">
        <v>74</v>
      </c>
      <c r="AC864" t="s">
        <v>74</v>
      </c>
      <c r="AD864" t="s">
        <v>74</v>
      </c>
      <c r="AE864" t="s">
        <v>74</v>
      </c>
      <c r="AF864" t="s">
        <v>74</v>
      </c>
      <c r="AG864">
        <v>61</v>
      </c>
      <c r="AH864">
        <v>29</v>
      </c>
      <c r="AI864">
        <v>35</v>
      </c>
      <c r="AJ864">
        <v>0</v>
      </c>
      <c r="AK864">
        <v>15</v>
      </c>
      <c r="AL864" t="s">
        <v>1013</v>
      </c>
      <c r="AM864" t="s">
        <v>895</v>
      </c>
      <c r="AN864" t="s">
        <v>1014</v>
      </c>
      <c r="AO864" t="s">
        <v>3048</v>
      </c>
      <c r="AP864" t="s">
        <v>74</v>
      </c>
      <c r="AQ864" t="s">
        <v>74</v>
      </c>
      <c r="AR864" t="s">
        <v>3049</v>
      </c>
      <c r="AS864" t="s">
        <v>3050</v>
      </c>
      <c r="AT864" t="s">
        <v>7127</v>
      </c>
      <c r="AU864">
        <v>2002</v>
      </c>
      <c r="AV864">
        <v>21</v>
      </c>
      <c r="AW864" t="s">
        <v>3240</v>
      </c>
      <c r="AX864" t="s">
        <v>74</v>
      </c>
      <c r="AY864" t="s">
        <v>74</v>
      </c>
      <c r="AZ864" t="s">
        <v>74</v>
      </c>
      <c r="BA864" t="s">
        <v>74</v>
      </c>
      <c r="BB864">
        <v>267</v>
      </c>
      <c r="BC864">
        <v>282</v>
      </c>
      <c r="BD864" t="s">
        <v>74</v>
      </c>
      <c r="BE864" t="s">
        <v>11760</v>
      </c>
      <c r="BF864" t="str">
        <f>HYPERLINK("http://dx.doi.org/10.1016/S0277-3791(01)00092-0","http://dx.doi.org/10.1016/S0277-3791(01)00092-0")</f>
        <v>http://dx.doi.org/10.1016/S0277-3791(01)00092-0</v>
      </c>
      <c r="BG864" t="s">
        <v>74</v>
      </c>
      <c r="BH864" t="s">
        <v>74</v>
      </c>
      <c r="BI864">
        <v>16</v>
      </c>
      <c r="BJ864" t="s">
        <v>1218</v>
      </c>
      <c r="BK864" t="s">
        <v>170</v>
      </c>
      <c r="BL864" t="s">
        <v>224</v>
      </c>
      <c r="BM864" t="s">
        <v>11712</v>
      </c>
      <c r="BN864" t="s">
        <v>74</v>
      </c>
      <c r="BO864" t="s">
        <v>74</v>
      </c>
      <c r="BP864" t="s">
        <v>74</v>
      </c>
      <c r="BQ864" t="s">
        <v>74</v>
      </c>
      <c r="BR864" t="s">
        <v>107</v>
      </c>
      <c r="BS864" t="s">
        <v>11761</v>
      </c>
      <c r="BT864" t="str">
        <f>HYPERLINK("https%3A%2F%2Fwww.webofscience.com%2Fwos%2Fwoscc%2Ffull-record%2FWOS:000173083700017","View Full Record in Web of Science")</f>
        <v>View Full Record in Web of Science</v>
      </c>
    </row>
    <row r="865" spans="1:72" x14ac:dyDescent="0.15">
      <c r="A865" t="s">
        <v>72</v>
      </c>
      <c r="B865" t="s">
        <v>11762</v>
      </c>
      <c r="C865" t="s">
        <v>74</v>
      </c>
      <c r="D865" t="s">
        <v>74</v>
      </c>
      <c r="E865" t="s">
        <v>74</v>
      </c>
      <c r="F865" t="s">
        <v>11762</v>
      </c>
      <c r="G865" t="s">
        <v>74</v>
      </c>
      <c r="H865" t="s">
        <v>74</v>
      </c>
      <c r="I865" t="s">
        <v>11763</v>
      </c>
      <c r="J865" t="s">
        <v>3040</v>
      </c>
      <c r="K865" t="s">
        <v>74</v>
      </c>
      <c r="L865" t="s">
        <v>74</v>
      </c>
      <c r="M865" t="s">
        <v>77</v>
      </c>
      <c r="N865" t="s">
        <v>153</v>
      </c>
      <c r="O865" t="s">
        <v>74</v>
      </c>
      <c r="P865" t="s">
        <v>74</v>
      </c>
      <c r="Q865" t="s">
        <v>74</v>
      </c>
      <c r="R865" t="s">
        <v>74</v>
      </c>
      <c r="S865" t="s">
        <v>74</v>
      </c>
      <c r="T865" t="s">
        <v>74</v>
      </c>
      <c r="U865" t="s">
        <v>11764</v>
      </c>
      <c r="V865" t="s">
        <v>11765</v>
      </c>
      <c r="W865" t="s">
        <v>11766</v>
      </c>
      <c r="X865" t="s">
        <v>11767</v>
      </c>
      <c r="Y865" t="s">
        <v>11768</v>
      </c>
      <c r="Z865" t="s">
        <v>11769</v>
      </c>
      <c r="AA865" t="s">
        <v>11770</v>
      </c>
      <c r="AB865" t="s">
        <v>11771</v>
      </c>
      <c r="AC865" t="s">
        <v>74</v>
      </c>
      <c r="AD865" t="s">
        <v>74</v>
      </c>
      <c r="AE865" t="s">
        <v>74</v>
      </c>
      <c r="AF865" t="s">
        <v>74</v>
      </c>
      <c r="AG865">
        <v>89</v>
      </c>
      <c r="AH865">
        <v>143</v>
      </c>
      <c r="AI865">
        <v>156</v>
      </c>
      <c r="AJ865">
        <v>0</v>
      </c>
      <c r="AK865">
        <v>38</v>
      </c>
      <c r="AL865" t="s">
        <v>1013</v>
      </c>
      <c r="AM865" t="s">
        <v>895</v>
      </c>
      <c r="AN865" t="s">
        <v>1014</v>
      </c>
      <c r="AO865" t="s">
        <v>3048</v>
      </c>
      <c r="AP865" t="s">
        <v>74</v>
      </c>
      <c r="AQ865" t="s">
        <v>74</v>
      </c>
      <c r="AR865" t="s">
        <v>3049</v>
      </c>
      <c r="AS865" t="s">
        <v>3050</v>
      </c>
      <c r="AT865" t="s">
        <v>7127</v>
      </c>
      <c r="AU865">
        <v>2002</v>
      </c>
      <c r="AV865">
        <v>21</v>
      </c>
      <c r="AW865" t="s">
        <v>3240</v>
      </c>
      <c r="AX865" t="s">
        <v>74</v>
      </c>
      <c r="AY865" t="s">
        <v>74</v>
      </c>
      <c r="AZ865" t="s">
        <v>74</v>
      </c>
      <c r="BA865" t="s">
        <v>74</v>
      </c>
      <c r="BB865">
        <v>315</v>
      </c>
      <c r="BC865">
        <v>330</v>
      </c>
      <c r="BD865" t="s">
        <v>74</v>
      </c>
      <c r="BE865" t="s">
        <v>11772</v>
      </c>
      <c r="BF865" t="str">
        <f>HYPERLINK("http://dx.doi.org/10.1016/S0277-3791(01)00107-X","http://dx.doi.org/10.1016/S0277-3791(01)00107-X")</f>
        <v>http://dx.doi.org/10.1016/S0277-3791(01)00107-X</v>
      </c>
      <c r="BG865" t="s">
        <v>74</v>
      </c>
      <c r="BH865" t="s">
        <v>74</v>
      </c>
      <c r="BI865">
        <v>16</v>
      </c>
      <c r="BJ865" t="s">
        <v>1218</v>
      </c>
      <c r="BK865" t="s">
        <v>170</v>
      </c>
      <c r="BL865" t="s">
        <v>224</v>
      </c>
      <c r="BM865" t="s">
        <v>11712</v>
      </c>
      <c r="BN865" t="s">
        <v>74</v>
      </c>
      <c r="BO865" t="s">
        <v>74</v>
      </c>
      <c r="BP865" t="s">
        <v>74</v>
      </c>
      <c r="BQ865" t="s">
        <v>74</v>
      </c>
      <c r="BR865" t="s">
        <v>107</v>
      </c>
      <c r="BS865" t="s">
        <v>11773</v>
      </c>
      <c r="BT865" t="str">
        <f>HYPERLINK("https%3A%2F%2Fwww.webofscience.com%2Fwos%2Fwoscc%2Ffull-record%2FWOS:000173083700021","View Full Record in Web of Science")</f>
        <v>View Full Record in Web of Science</v>
      </c>
    </row>
    <row r="866" spans="1:72" x14ac:dyDescent="0.15">
      <c r="A866" t="s">
        <v>72</v>
      </c>
      <c r="B866" t="s">
        <v>11774</v>
      </c>
      <c r="C866" t="s">
        <v>74</v>
      </c>
      <c r="D866" t="s">
        <v>74</v>
      </c>
      <c r="E866" t="s">
        <v>74</v>
      </c>
      <c r="F866" t="s">
        <v>11774</v>
      </c>
      <c r="G866" t="s">
        <v>74</v>
      </c>
      <c r="H866" t="s">
        <v>74</v>
      </c>
      <c r="I866" t="s">
        <v>11775</v>
      </c>
      <c r="J866" t="s">
        <v>3040</v>
      </c>
      <c r="K866" t="s">
        <v>74</v>
      </c>
      <c r="L866" t="s">
        <v>74</v>
      </c>
      <c r="M866" t="s">
        <v>77</v>
      </c>
      <c r="N866" t="s">
        <v>153</v>
      </c>
      <c r="O866" t="s">
        <v>74</v>
      </c>
      <c r="P866" t="s">
        <v>74</v>
      </c>
      <c r="Q866" t="s">
        <v>74</v>
      </c>
      <c r="R866" t="s">
        <v>74</v>
      </c>
      <c r="S866" t="s">
        <v>74</v>
      </c>
      <c r="T866" t="s">
        <v>74</v>
      </c>
      <c r="U866" t="s">
        <v>11776</v>
      </c>
      <c r="V866" t="s">
        <v>11777</v>
      </c>
      <c r="W866" t="s">
        <v>11778</v>
      </c>
      <c r="X866" t="s">
        <v>11779</v>
      </c>
      <c r="Y866" t="s">
        <v>11780</v>
      </c>
      <c r="Z866" t="s">
        <v>11781</v>
      </c>
      <c r="AA866" t="s">
        <v>11782</v>
      </c>
      <c r="AB866" t="s">
        <v>11783</v>
      </c>
      <c r="AC866" t="s">
        <v>74</v>
      </c>
      <c r="AD866" t="s">
        <v>74</v>
      </c>
      <c r="AE866" t="s">
        <v>74</v>
      </c>
      <c r="AF866" t="s">
        <v>74</v>
      </c>
      <c r="AG866">
        <v>25</v>
      </c>
      <c r="AH866">
        <v>71</v>
      </c>
      <c r="AI866">
        <v>81</v>
      </c>
      <c r="AJ866">
        <v>0</v>
      </c>
      <c r="AK866">
        <v>17</v>
      </c>
      <c r="AL866" t="s">
        <v>1013</v>
      </c>
      <c r="AM866" t="s">
        <v>895</v>
      </c>
      <c r="AN866" t="s">
        <v>1014</v>
      </c>
      <c r="AO866" t="s">
        <v>3048</v>
      </c>
      <c r="AP866" t="s">
        <v>74</v>
      </c>
      <c r="AQ866" t="s">
        <v>74</v>
      </c>
      <c r="AR866" t="s">
        <v>3049</v>
      </c>
      <c r="AS866" t="s">
        <v>3050</v>
      </c>
      <c r="AT866" t="s">
        <v>7127</v>
      </c>
      <c r="AU866">
        <v>2002</v>
      </c>
      <c r="AV866">
        <v>21</v>
      </c>
      <c r="AW866" t="s">
        <v>3240</v>
      </c>
      <c r="AX866" t="s">
        <v>74</v>
      </c>
      <c r="AY866" t="s">
        <v>74</v>
      </c>
      <c r="AZ866" t="s">
        <v>74</v>
      </c>
      <c r="BA866" t="s">
        <v>74</v>
      </c>
      <c r="BB866">
        <v>397</v>
      </c>
      <c r="BC866">
        <v>408</v>
      </c>
      <c r="BD866" t="s">
        <v>74</v>
      </c>
      <c r="BE866" t="s">
        <v>11784</v>
      </c>
      <c r="BF866" t="str">
        <f>HYPERLINK("http://dx.doi.org/10.1016/S0277-3791(01)00091-9","http://dx.doi.org/10.1016/S0277-3791(01)00091-9")</f>
        <v>http://dx.doi.org/10.1016/S0277-3791(01)00091-9</v>
      </c>
      <c r="BG866" t="s">
        <v>74</v>
      </c>
      <c r="BH866" t="s">
        <v>74</v>
      </c>
      <c r="BI866">
        <v>12</v>
      </c>
      <c r="BJ866" t="s">
        <v>1218</v>
      </c>
      <c r="BK866" t="s">
        <v>170</v>
      </c>
      <c r="BL866" t="s">
        <v>224</v>
      </c>
      <c r="BM866" t="s">
        <v>11712</v>
      </c>
      <c r="BN866" t="s">
        <v>74</v>
      </c>
      <c r="BO866" t="s">
        <v>74</v>
      </c>
      <c r="BP866" t="s">
        <v>74</v>
      </c>
      <c r="BQ866" t="s">
        <v>74</v>
      </c>
      <c r="BR866" t="s">
        <v>107</v>
      </c>
      <c r="BS866" t="s">
        <v>11785</v>
      </c>
      <c r="BT866" t="str">
        <f>HYPERLINK("https%3A%2F%2Fwww.webofscience.com%2Fwos%2Fwoscc%2Ffull-record%2FWOS:000173083700026","View Full Record in Web of Science")</f>
        <v>View Full Record in Web of Science</v>
      </c>
    </row>
    <row r="867" spans="1:72" x14ac:dyDescent="0.15">
      <c r="A867" t="s">
        <v>72</v>
      </c>
      <c r="B867" t="s">
        <v>11786</v>
      </c>
      <c r="C867" t="s">
        <v>74</v>
      </c>
      <c r="D867" t="s">
        <v>74</v>
      </c>
      <c r="E867" t="s">
        <v>74</v>
      </c>
      <c r="F867" t="s">
        <v>11786</v>
      </c>
      <c r="G867" t="s">
        <v>74</v>
      </c>
      <c r="H867" t="s">
        <v>74</v>
      </c>
      <c r="I867" t="s">
        <v>11787</v>
      </c>
      <c r="J867" t="s">
        <v>11788</v>
      </c>
      <c r="K867" t="s">
        <v>74</v>
      </c>
      <c r="L867" t="s">
        <v>74</v>
      </c>
      <c r="M867" t="s">
        <v>77</v>
      </c>
      <c r="N867" t="s">
        <v>78</v>
      </c>
      <c r="O867" t="s">
        <v>11789</v>
      </c>
      <c r="P867" t="s">
        <v>11790</v>
      </c>
      <c r="Q867" t="s">
        <v>11791</v>
      </c>
      <c r="R867" t="s">
        <v>74</v>
      </c>
      <c r="S867" t="s">
        <v>74</v>
      </c>
      <c r="T867" t="s">
        <v>74</v>
      </c>
      <c r="U867" t="s">
        <v>11792</v>
      </c>
      <c r="V867" t="s">
        <v>11793</v>
      </c>
      <c r="W867" t="s">
        <v>11794</v>
      </c>
      <c r="X867" t="s">
        <v>9979</v>
      </c>
      <c r="Y867" t="s">
        <v>11795</v>
      </c>
      <c r="Z867" t="s">
        <v>74</v>
      </c>
      <c r="AA867" t="s">
        <v>74</v>
      </c>
      <c r="AB867" t="s">
        <v>11796</v>
      </c>
      <c r="AC867" t="s">
        <v>74</v>
      </c>
      <c r="AD867" t="s">
        <v>74</v>
      </c>
      <c r="AE867" t="s">
        <v>74</v>
      </c>
      <c r="AF867" t="s">
        <v>74</v>
      </c>
      <c r="AG867">
        <v>10</v>
      </c>
      <c r="AH867">
        <v>6</v>
      </c>
      <c r="AI867">
        <v>6</v>
      </c>
      <c r="AJ867">
        <v>0</v>
      </c>
      <c r="AK867">
        <v>3</v>
      </c>
      <c r="AL867" t="s">
        <v>5344</v>
      </c>
      <c r="AM867" t="s">
        <v>5345</v>
      </c>
      <c r="AN867" t="s">
        <v>5346</v>
      </c>
      <c r="AO867" t="s">
        <v>11797</v>
      </c>
      <c r="AP867" t="s">
        <v>74</v>
      </c>
      <c r="AQ867" t="s">
        <v>74</v>
      </c>
      <c r="AR867" t="s">
        <v>11798</v>
      </c>
      <c r="AS867" t="s">
        <v>11799</v>
      </c>
      <c r="AT867" t="s">
        <v>74</v>
      </c>
      <c r="AU867">
        <v>2002</v>
      </c>
      <c r="AV867">
        <v>7</v>
      </c>
      <c r="AW867">
        <v>5</v>
      </c>
      <c r="AX867" t="s">
        <v>74</v>
      </c>
      <c r="AY867" t="s">
        <v>74</v>
      </c>
      <c r="AZ867" t="s">
        <v>74</v>
      </c>
      <c r="BA867" t="s">
        <v>74</v>
      </c>
      <c r="BB867">
        <v>312</v>
      </c>
      <c r="BC867">
        <v>314</v>
      </c>
      <c r="BD867" t="s">
        <v>74</v>
      </c>
      <c r="BE867" t="s">
        <v>11800</v>
      </c>
      <c r="BF867" t="str">
        <f>HYPERLINK("http://dx.doi.org/10.1179/135100002125000866","http://dx.doi.org/10.1179/135100002125000866")</f>
        <v>http://dx.doi.org/10.1179/135100002125000866</v>
      </c>
      <c r="BG867" t="s">
        <v>74</v>
      </c>
      <c r="BH867" t="s">
        <v>74</v>
      </c>
      <c r="BI867">
        <v>3</v>
      </c>
      <c r="BJ867" t="s">
        <v>2461</v>
      </c>
      <c r="BK867" t="s">
        <v>744</v>
      </c>
      <c r="BL867" t="s">
        <v>2461</v>
      </c>
      <c r="BM867" t="s">
        <v>11801</v>
      </c>
      <c r="BN867">
        <v>12688517</v>
      </c>
      <c r="BO867" t="s">
        <v>173</v>
      </c>
      <c r="BP867" t="s">
        <v>74</v>
      </c>
      <c r="BQ867" t="s">
        <v>74</v>
      </c>
      <c r="BR867" t="s">
        <v>107</v>
      </c>
      <c r="BS867" t="s">
        <v>11802</v>
      </c>
      <c r="BT867" t="str">
        <f>HYPERLINK("https%3A%2F%2Fwww.webofscience.com%2Fwos%2Fwoscc%2Ffull-record%2FWOS:000180541800014","View Full Record in Web of Science")</f>
        <v>View Full Record in Web of Science</v>
      </c>
    </row>
    <row r="868" spans="1:72" x14ac:dyDescent="0.15">
      <c r="A868" t="s">
        <v>1051</v>
      </c>
      <c r="B868" t="s">
        <v>11803</v>
      </c>
      <c r="C868" t="s">
        <v>74</v>
      </c>
      <c r="D868" t="s">
        <v>11804</v>
      </c>
      <c r="E868" t="s">
        <v>74</v>
      </c>
      <c r="F868" t="s">
        <v>11803</v>
      </c>
      <c r="G868" t="s">
        <v>74</v>
      </c>
      <c r="H868" t="s">
        <v>74</v>
      </c>
      <c r="I868" t="s">
        <v>11805</v>
      </c>
      <c r="J868" t="s">
        <v>11806</v>
      </c>
      <c r="K868" t="s">
        <v>8985</v>
      </c>
      <c r="L868" t="s">
        <v>74</v>
      </c>
      <c r="M868" t="s">
        <v>77</v>
      </c>
      <c r="N868" t="s">
        <v>78</v>
      </c>
      <c r="O868" t="s">
        <v>11807</v>
      </c>
      <c r="P868" t="s">
        <v>7054</v>
      </c>
      <c r="Q868" t="s">
        <v>7055</v>
      </c>
      <c r="R868" t="s">
        <v>74</v>
      </c>
      <c r="S868" t="s">
        <v>74</v>
      </c>
      <c r="T868" t="s">
        <v>74</v>
      </c>
      <c r="U868" t="s">
        <v>74</v>
      </c>
      <c r="V868" t="s">
        <v>11808</v>
      </c>
      <c r="W868" t="s">
        <v>11809</v>
      </c>
      <c r="X868" t="s">
        <v>11810</v>
      </c>
      <c r="Y868" t="s">
        <v>11811</v>
      </c>
      <c r="Z868" t="s">
        <v>74</v>
      </c>
      <c r="AA868" t="s">
        <v>74</v>
      </c>
      <c r="AB868" t="s">
        <v>74</v>
      </c>
      <c r="AC868" t="s">
        <v>74</v>
      </c>
      <c r="AD868" t="s">
        <v>74</v>
      </c>
      <c r="AE868" t="s">
        <v>74</v>
      </c>
      <c r="AF868" t="s">
        <v>74</v>
      </c>
      <c r="AG868">
        <v>8</v>
      </c>
      <c r="AH868">
        <v>8</v>
      </c>
      <c r="AI868">
        <v>8</v>
      </c>
      <c r="AJ868">
        <v>0</v>
      </c>
      <c r="AK868">
        <v>0</v>
      </c>
      <c r="AL868" t="s">
        <v>1013</v>
      </c>
      <c r="AM868" t="s">
        <v>895</v>
      </c>
      <c r="AN868" t="s">
        <v>1014</v>
      </c>
      <c r="AO868" t="s">
        <v>7062</v>
      </c>
      <c r="AP868" t="s">
        <v>74</v>
      </c>
      <c r="AQ868" t="s">
        <v>74</v>
      </c>
      <c r="AR868" t="s">
        <v>8992</v>
      </c>
      <c r="AS868" t="s">
        <v>74</v>
      </c>
      <c r="AT868" t="s">
        <v>74</v>
      </c>
      <c r="AU868">
        <v>2002</v>
      </c>
      <c r="AV868">
        <v>29</v>
      </c>
      <c r="AW868">
        <v>11</v>
      </c>
      <c r="AX868" t="s">
        <v>74</v>
      </c>
      <c r="AY868" t="s">
        <v>74</v>
      </c>
      <c r="AZ868" t="s">
        <v>74</v>
      </c>
      <c r="BA868" t="s">
        <v>74</v>
      </c>
      <c r="BB868">
        <v>1643</v>
      </c>
      <c r="BC868">
        <v>1648</v>
      </c>
      <c r="BD868" t="s">
        <v>11812</v>
      </c>
      <c r="BE868" t="s">
        <v>11813</v>
      </c>
      <c r="BF868" t="str">
        <f>HYPERLINK("http://dx.doi.org/10.1016/S0273-1177(02)00122-9","http://dx.doi.org/10.1016/S0273-1177(02)00122-9")</f>
        <v>http://dx.doi.org/10.1016/S0273-1177(02)00122-9</v>
      </c>
      <c r="BG868" t="s">
        <v>74</v>
      </c>
      <c r="BH868" t="s">
        <v>74</v>
      </c>
      <c r="BI868">
        <v>6</v>
      </c>
      <c r="BJ868" t="s">
        <v>7066</v>
      </c>
      <c r="BK868" t="s">
        <v>744</v>
      </c>
      <c r="BL868" t="s">
        <v>7067</v>
      </c>
      <c r="BM868" t="s">
        <v>11814</v>
      </c>
      <c r="BN868" t="s">
        <v>74</v>
      </c>
      <c r="BO868" t="s">
        <v>74</v>
      </c>
      <c r="BP868" t="s">
        <v>74</v>
      </c>
      <c r="BQ868" t="s">
        <v>74</v>
      </c>
      <c r="BR868" t="s">
        <v>107</v>
      </c>
      <c r="BS868" t="s">
        <v>11815</v>
      </c>
      <c r="BT868" t="str">
        <f>HYPERLINK("https%3A%2F%2Fwww.webofscience.com%2Fwos%2Fwoscc%2Ffull-record%2FWOS:000177314200007","View Full Record in Web of Science")</f>
        <v>View Full Record in Web of Science</v>
      </c>
    </row>
    <row r="869" spans="1:72" x14ac:dyDescent="0.15">
      <c r="A869" t="s">
        <v>72</v>
      </c>
      <c r="B869" t="s">
        <v>11816</v>
      </c>
      <c r="C869" t="s">
        <v>74</v>
      </c>
      <c r="D869" t="s">
        <v>74</v>
      </c>
      <c r="E869" t="s">
        <v>74</v>
      </c>
      <c r="F869" t="s">
        <v>11816</v>
      </c>
      <c r="G869" t="s">
        <v>74</v>
      </c>
      <c r="H869" t="s">
        <v>74</v>
      </c>
      <c r="I869" t="s">
        <v>11817</v>
      </c>
      <c r="J869" t="s">
        <v>11818</v>
      </c>
      <c r="K869" t="s">
        <v>74</v>
      </c>
      <c r="L869" t="s">
        <v>74</v>
      </c>
      <c r="M869" t="s">
        <v>77</v>
      </c>
      <c r="N869" t="s">
        <v>947</v>
      </c>
      <c r="O869" t="s">
        <v>74</v>
      </c>
      <c r="P869" t="s">
        <v>74</v>
      </c>
      <c r="Q869" t="s">
        <v>74</v>
      </c>
      <c r="R869" t="s">
        <v>74</v>
      </c>
      <c r="S869" t="s">
        <v>74</v>
      </c>
      <c r="T869" t="s">
        <v>11819</v>
      </c>
      <c r="U869" t="s">
        <v>11820</v>
      </c>
      <c r="V869" t="s">
        <v>11821</v>
      </c>
      <c r="W869" t="s">
        <v>11822</v>
      </c>
      <c r="X869" t="s">
        <v>74</v>
      </c>
      <c r="Y869" t="s">
        <v>11823</v>
      </c>
      <c r="Z869" t="s">
        <v>11824</v>
      </c>
      <c r="AA869" t="s">
        <v>74</v>
      </c>
      <c r="AB869" t="s">
        <v>74</v>
      </c>
      <c r="AC869" t="s">
        <v>74</v>
      </c>
      <c r="AD869" t="s">
        <v>74</v>
      </c>
      <c r="AE869" t="s">
        <v>74</v>
      </c>
      <c r="AF869" t="s">
        <v>74</v>
      </c>
      <c r="AG869">
        <v>215</v>
      </c>
      <c r="AH869">
        <v>152</v>
      </c>
      <c r="AI869">
        <v>180</v>
      </c>
      <c r="AJ869">
        <v>1</v>
      </c>
      <c r="AK869">
        <v>73</v>
      </c>
      <c r="AL869" t="s">
        <v>194</v>
      </c>
      <c r="AM869" t="s">
        <v>1251</v>
      </c>
      <c r="AN869" t="s">
        <v>1252</v>
      </c>
      <c r="AO869" t="s">
        <v>11825</v>
      </c>
      <c r="AP869" t="s">
        <v>11826</v>
      </c>
      <c r="AQ869" t="s">
        <v>74</v>
      </c>
      <c r="AR869" t="s">
        <v>11827</v>
      </c>
      <c r="AS869" t="s">
        <v>11828</v>
      </c>
      <c r="AT869" t="s">
        <v>74</v>
      </c>
      <c r="AU869">
        <v>2002</v>
      </c>
      <c r="AV869">
        <v>12</v>
      </c>
      <c r="AW869">
        <v>1</v>
      </c>
      <c r="AX869" t="s">
        <v>74</v>
      </c>
      <c r="AY869" t="s">
        <v>74</v>
      </c>
      <c r="AZ869" t="s">
        <v>74</v>
      </c>
      <c r="BA869" t="s">
        <v>74</v>
      </c>
      <c r="BB869">
        <v>79</v>
      </c>
      <c r="BC869">
        <v>103</v>
      </c>
      <c r="BD869" t="s">
        <v>74</v>
      </c>
      <c r="BE869" t="s">
        <v>11829</v>
      </c>
      <c r="BF869" t="str">
        <f>HYPERLINK("http://dx.doi.org/10.1023/A:1022603204337","http://dx.doi.org/10.1023/A:1022603204337")</f>
        <v>http://dx.doi.org/10.1023/A:1022603204337</v>
      </c>
      <c r="BG869" t="s">
        <v>74</v>
      </c>
      <c r="BH869" t="s">
        <v>74</v>
      </c>
      <c r="BI869">
        <v>25</v>
      </c>
      <c r="BJ869" t="s">
        <v>1466</v>
      </c>
      <c r="BK869" t="s">
        <v>170</v>
      </c>
      <c r="BL869" t="s">
        <v>1466</v>
      </c>
      <c r="BM869" t="s">
        <v>11830</v>
      </c>
      <c r="BN869" t="s">
        <v>74</v>
      </c>
      <c r="BO869" t="s">
        <v>74</v>
      </c>
      <c r="BP869" t="s">
        <v>74</v>
      </c>
      <c r="BQ869" t="s">
        <v>74</v>
      </c>
      <c r="BR869" t="s">
        <v>107</v>
      </c>
      <c r="BS869" t="s">
        <v>11831</v>
      </c>
      <c r="BT869" t="str">
        <f>HYPERLINK("https%3A%2F%2Fwww.webofscience.com%2Fwos%2Fwoscc%2Ffull-record%2FWOS:000181287900004","View Full Record in Web of Science")</f>
        <v>View Full Record in Web of Science</v>
      </c>
    </row>
    <row r="870" spans="1:72" x14ac:dyDescent="0.15">
      <c r="A870" t="s">
        <v>1051</v>
      </c>
      <c r="B870" t="s">
        <v>11832</v>
      </c>
      <c r="C870" t="s">
        <v>74</v>
      </c>
      <c r="D870" t="s">
        <v>11833</v>
      </c>
      <c r="E870" t="s">
        <v>74</v>
      </c>
      <c r="F870" t="s">
        <v>11832</v>
      </c>
      <c r="G870" t="s">
        <v>74</v>
      </c>
      <c r="H870" t="s">
        <v>74</v>
      </c>
      <c r="I870" t="s">
        <v>11834</v>
      </c>
      <c r="J870" t="s">
        <v>11835</v>
      </c>
      <c r="K870" t="s">
        <v>8985</v>
      </c>
      <c r="L870" t="s">
        <v>74</v>
      </c>
      <c r="M870" t="s">
        <v>77</v>
      </c>
      <c r="N870" t="s">
        <v>78</v>
      </c>
      <c r="O870" t="s">
        <v>11836</v>
      </c>
      <c r="P870" t="s">
        <v>11837</v>
      </c>
      <c r="Q870" t="s">
        <v>7055</v>
      </c>
      <c r="R870" t="s">
        <v>74</v>
      </c>
      <c r="S870" t="s">
        <v>74</v>
      </c>
      <c r="T870" t="s">
        <v>74</v>
      </c>
      <c r="U870" t="s">
        <v>11838</v>
      </c>
      <c r="V870" t="s">
        <v>11839</v>
      </c>
      <c r="W870" t="s">
        <v>11840</v>
      </c>
      <c r="X870" t="s">
        <v>11841</v>
      </c>
      <c r="Y870" t="s">
        <v>11842</v>
      </c>
      <c r="Z870" t="s">
        <v>74</v>
      </c>
      <c r="AA870" t="s">
        <v>11843</v>
      </c>
      <c r="AB870" t="s">
        <v>11844</v>
      </c>
      <c r="AC870" t="s">
        <v>74</v>
      </c>
      <c r="AD870" t="s">
        <v>74</v>
      </c>
      <c r="AE870" t="s">
        <v>74</v>
      </c>
      <c r="AF870" t="s">
        <v>74</v>
      </c>
      <c r="AG870">
        <v>21</v>
      </c>
      <c r="AH870">
        <v>15</v>
      </c>
      <c r="AI870">
        <v>17</v>
      </c>
      <c r="AJ870">
        <v>1</v>
      </c>
      <c r="AK870">
        <v>10</v>
      </c>
      <c r="AL870" t="s">
        <v>1013</v>
      </c>
      <c r="AM870" t="s">
        <v>895</v>
      </c>
      <c r="AN870" t="s">
        <v>1014</v>
      </c>
      <c r="AO870" t="s">
        <v>7062</v>
      </c>
      <c r="AP870" t="s">
        <v>74</v>
      </c>
      <c r="AQ870" t="s">
        <v>74</v>
      </c>
      <c r="AR870" t="s">
        <v>8992</v>
      </c>
      <c r="AS870" t="s">
        <v>74</v>
      </c>
      <c r="AT870" t="s">
        <v>74</v>
      </c>
      <c r="AU870">
        <v>2002</v>
      </c>
      <c r="AV870">
        <v>30</v>
      </c>
      <c r="AW870">
        <v>5</v>
      </c>
      <c r="AX870" t="s">
        <v>74</v>
      </c>
      <c r="AY870" t="s">
        <v>74</v>
      </c>
      <c r="AZ870" t="s">
        <v>74</v>
      </c>
      <c r="BA870" t="s">
        <v>74</v>
      </c>
      <c r="BB870">
        <v>1349</v>
      </c>
      <c r="BC870">
        <v>1357</v>
      </c>
      <c r="BD870" t="s">
        <v>11845</v>
      </c>
      <c r="BE870" t="s">
        <v>11846</v>
      </c>
      <c r="BF870" t="str">
        <f>HYPERLINK("http://dx.doi.org/10.1016/S0273-1177(02)00551-3","http://dx.doi.org/10.1016/S0273-1177(02)00551-3")</f>
        <v>http://dx.doi.org/10.1016/S0273-1177(02)00551-3</v>
      </c>
      <c r="BG870" t="s">
        <v>74</v>
      </c>
      <c r="BH870" t="s">
        <v>74</v>
      </c>
      <c r="BI870">
        <v>9</v>
      </c>
      <c r="BJ870" t="s">
        <v>7066</v>
      </c>
      <c r="BK870" t="s">
        <v>744</v>
      </c>
      <c r="BL870" t="s">
        <v>7067</v>
      </c>
      <c r="BM870" t="s">
        <v>11847</v>
      </c>
      <c r="BN870" t="s">
        <v>74</v>
      </c>
      <c r="BO870" t="s">
        <v>74</v>
      </c>
      <c r="BP870" t="s">
        <v>74</v>
      </c>
      <c r="BQ870" t="s">
        <v>74</v>
      </c>
      <c r="BR870" t="s">
        <v>107</v>
      </c>
      <c r="BS870" t="s">
        <v>11848</v>
      </c>
      <c r="BT870" t="str">
        <f>HYPERLINK("https%3A%2F%2Fwww.webofscience.com%2Fwos%2Fwoscc%2Ffull-record%2FWOS:000179730800035","View Full Record in Web of Science")</f>
        <v>View Full Record in Web of Science</v>
      </c>
    </row>
    <row r="871" spans="1:72" x14ac:dyDescent="0.15">
      <c r="A871" t="s">
        <v>72</v>
      </c>
      <c r="B871" t="s">
        <v>11849</v>
      </c>
      <c r="C871" t="s">
        <v>74</v>
      </c>
      <c r="D871" t="s">
        <v>74</v>
      </c>
      <c r="E871" t="s">
        <v>74</v>
      </c>
      <c r="F871" t="s">
        <v>11849</v>
      </c>
      <c r="G871" t="s">
        <v>74</v>
      </c>
      <c r="H871" t="s">
        <v>74</v>
      </c>
      <c r="I871" t="s">
        <v>11850</v>
      </c>
      <c r="J871" t="s">
        <v>11851</v>
      </c>
      <c r="K871" t="s">
        <v>74</v>
      </c>
      <c r="L871" t="s">
        <v>74</v>
      </c>
      <c r="M871" t="s">
        <v>77</v>
      </c>
      <c r="N871" t="s">
        <v>153</v>
      </c>
      <c r="O871" t="s">
        <v>74</v>
      </c>
      <c r="P871" t="s">
        <v>74</v>
      </c>
      <c r="Q871" t="s">
        <v>74</v>
      </c>
      <c r="R871" t="s">
        <v>74</v>
      </c>
      <c r="S871" t="s">
        <v>74</v>
      </c>
      <c r="T871" t="s">
        <v>11852</v>
      </c>
      <c r="U871" t="s">
        <v>74</v>
      </c>
      <c r="V871" t="s">
        <v>11853</v>
      </c>
      <c r="W871" t="s">
        <v>11854</v>
      </c>
      <c r="X871" t="s">
        <v>74</v>
      </c>
      <c r="Y871" t="s">
        <v>11855</v>
      </c>
      <c r="Z871" t="s">
        <v>74</v>
      </c>
      <c r="AA871" t="s">
        <v>74</v>
      </c>
      <c r="AB871" t="s">
        <v>74</v>
      </c>
      <c r="AC871" t="s">
        <v>74</v>
      </c>
      <c r="AD871" t="s">
        <v>74</v>
      </c>
      <c r="AE871" t="s">
        <v>74</v>
      </c>
      <c r="AF871" t="s">
        <v>74</v>
      </c>
      <c r="AG871">
        <v>60</v>
      </c>
      <c r="AH871">
        <v>4</v>
      </c>
      <c r="AI871">
        <v>4</v>
      </c>
      <c r="AJ871">
        <v>0</v>
      </c>
      <c r="AK871">
        <v>2</v>
      </c>
      <c r="AL871" t="s">
        <v>11856</v>
      </c>
      <c r="AM871" t="s">
        <v>11857</v>
      </c>
      <c r="AN871" t="s">
        <v>11858</v>
      </c>
      <c r="AO871" t="s">
        <v>11859</v>
      </c>
      <c r="AP871" t="s">
        <v>74</v>
      </c>
      <c r="AQ871" t="s">
        <v>74</v>
      </c>
      <c r="AR871" t="s">
        <v>11860</v>
      </c>
      <c r="AS871" t="s">
        <v>11861</v>
      </c>
      <c r="AT871" t="s">
        <v>74</v>
      </c>
      <c r="AU871">
        <v>2002</v>
      </c>
      <c r="AV871">
        <v>118</v>
      </c>
      <c r="AW871">
        <v>4</v>
      </c>
      <c r="AX871" t="s">
        <v>74</v>
      </c>
      <c r="AY871" t="s">
        <v>74</v>
      </c>
      <c r="AZ871" t="s">
        <v>74</v>
      </c>
      <c r="BA871" t="s">
        <v>74</v>
      </c>
      <c r="BB871">
        <v>263</v>
      </c>
      <c r="BC871">
        <v>282</v>
      </c>
      <c r="BD871" t="s">
        <v>74</v>
      </c>
      <c r="BE871" t="s">
        <v>74</v>
      </c>
      <c r="BF871" t="s">
        <v>74</v>
      </c>
      <c r="BG871" t="s">
        <v>74</v>
      </c>
      <c r="BH871" t="s">
        <v>74</v>
      </c>
      <c r="BI871">
        <v>20</v>
      </c>
      <c r="BJ871" t="s">
        <v>11862</v>
      </c>
      <c r="BK871" t="s">
        <v>1236</v>
      </c>
      <c r="BL871" t="s">
        <v>11862</v>
      </c>
      <c r="BM871" t="s">
        <v>11863</v>
      </c>
      <c r="BN871" t="s">
        <v>74</v>
      </c>
      <c r="BO871" t="s">
        <v>74</v>
      </c>
      <c r="BP871" t="s">
        <v>74</v>
      </c>
      <c r="BQ871" t="s">
        <v>74</v>
      </c>
      <c r="BR871" t="s">
        <v>107</v>
      </c>
      <c r="BS871" t="s">
        <v>11864</v>
      </c>
      <c r="BT871" t="str">
        <f>HYPERLINK("https%3A%2F%2Fwww.webofscience.com%2Fwos%2Fwoscc%2Ffull-record%2FWOS:000183882700001","View Full Record in Web of Science")</f>
        <v>View Full Record in Web of Science</v>
      </c>
    </row>
    <row r="872" spans="1:72" x14ac:dyDescent="0.15">
      <c r="A872" t="s">
        <v>6989</v>
      </c>
      <c r="B872" t="s">
        <v>11865</v>
      </c>
      <c r="C872" t="s">
        <v>74</v>
      </c>
      <c r="D872" t="s">
        <v>11866</v>
      </c>
      <c r="E872" t="s">
        <v>74</v>
      </c>
      <c r="F872" t="s">
        <v>11865</v>
      </c>
      <c r="G872" t="s">
        <v>74</v>
      </c>
      <c r="H872" t="s">
        <v>74</v>
      </c>
      <c r="I872" t="s">
        <v>11867</v>
      </c>
      <c r="J872" t="s">
        <v>11868</v>
      </c>
      <c r="K872" t="s">
        <v>11541</v>
      </c>
      <c r="L872" t="s">
        <v>74</v>
      </c>
      <c r="M872" t="s">
        <v>77</v>
      </c>
      <c r="N872" t="s">
        <v>6994</v>
      </c>
      <c r="O872" t="s">
        <v>11869</v>
      </c>
      <c r="P872" t="s">
        <v>11870</v>
      </c>
      <c r="Q872" t="s">
        <v>11871</v>
      </c>
      <c r="R872" t="s">
        <v>74</v>
      </c>
      <c r="S872" t="s">
        <v>74</v>
      </c>
      <c r="T872" t="s">
        <v>74</v>
      </c>
      <c r="U872" t="s">
        <v>11872</v>
      </c>
      <c r="V872" t="s">
        <v>11873</v>
      </c>
      <c r="W872" t="s">
        <v>11874</v>
      </c>
      <c r="X872" t="s">
        <v>6020</v>
      </c>
      <c r="Y872" t="s">
        <v>11875</v>
      </c>
      <c r="Z872" t="s">
        <v>74</v>
      </c>
      <c r="AA872" t="s">
        <v>11876</v>
      </c>
      <c r="AB872" t="s">
        <v>11877</v>
      </c>
      <c r="AC872" t="s">
        <v>74</v>
      </c>
      <c r="AD872" t="s">
        <v>74</v>
      </c>
      <c r="AE872" t="s">
        <v>74</v>
      </c>
      <c r="AF872" t="s">
        <v>74</v>
      </c>
      <c r="AG872">
        <v>16</v>
      </c>
      <c r="AH872">
        <v>1</v>
      </c>
      <c r="AI872">
        <v>1</v>
      </c>
      <c r="AJ872">
        <v>0</v>
      </c>
      <c r="AK872">
        <v>0</v>
      </c>
      <c r="AL872" t="s">
        <v>11531</v>
      </c>
      <c r="AM872" t="s">
        <v>11532</v>
      </c>
      <c r="AN872" t="s">
        <v>11533</v>
      </c>
      <c r="AO872" t="s">
        <v>11534</v>
      </c>
      <c r="AP872" t="s">
        <v>74</v>
      </c>
      <c r="AQ872" t="s">
        <v>11878</v>
      </c>
      <c r="AR872" t="s">
        <v>11549</v>
      </c>
      <c r="AS872" t="s">
        <v>74</v>
      </c>
      <c r="AT872" t="s">
        <v>74</v>
      </c>
      <c r="AU872">
        <v>2002</v>
      </c>
      <c r="AV872">
        <v>477</v>
      </c>
      <c r="AW872" t="s">
        <v>74</v>
      </c>
      <c r="AX872" t="s">
        <v>74</v>
      </c>
      <c r="AY872" t="s">
        <v>74</v>
      </c>
      <c r="AZ872" t="s">
        <v>74</v>
      </c>
      <c r="BA872" t="s">
        <v>74</v>
      </c>
      <c r="BB872">
        <v>471</v>
      </c>
      <c r="BC872">
        <v>474</v>
      </c>
      <c r="BD872" t="s">
        <v>74</v>
      </c>
      <c r="BE872" t="s">
        <v>74</v>
      </c>
      <c r="BF872" t="s">
        <v>74</v>
      </c>
      <c r="BG872" t="s">
        <v>74</v>
      </c>
      <c r="BH872" t="s">
        <v>74</v>
      </c>
      <c r="BI872">
        <v>4</v>
      </c>
      <c r="BJ872" t="s">
        <v>1856</v>
      </c>
      <c r="BK872" t="s">
        <v>7004</v>
      </c>
      <c r="BL872" t="s">
        <v>1856</v>
      </c>
      <c r="BM872" t="s">
        <v>11879</v>
      </c>
      <c r="BN872" t="s">
        <v>74</v>
      </c>
      <c r="BO872" t="s">
        <v>74</v>
      </c>
      <c r="BP872" t="s">
        <v>74</v>
      </c>
      <c r="BQ872" t="s">
        <v>74</v>
      </c>
      <c r="BR872" t="s">
        <v>107</v>
      </c>
      <c r="BS872" t="s">
        <v>11880</v>
      </c>
      <c r="BT872" t="str">
        <f>HYPERLINK("https%3A%2F%2Fwww.webofscience.com%2Fwos%2Fwoscc%2Ffull-record%2FWOS:000177209900110","View Full Record in Web of Science")</f>
        <v>View Full Record in Web of Science</v>
      </c>
    </row>
    <row r="873" spans="1:72" x14ac:dyDescent="0.15">
      <c r="A873" t="s">
        <v>72</v>
      </c>
      <c r="B873" t="s">
        <v>11881</v>
      </c>
      <c r="C873" t="s">
        <v>74</v>
      </c>
      <c r="D873" t="s">
        <v>74</v>
      </c>
      <c r="E873" t="s">
        <v>74</v>
      </c>
      <c r="F873" t="s">
        <v>11881</v>
      </c>
      <c r="G873" t="s">
        <v>74</v>
      </c>
      <c r="H873" t="s">
        <v>74</v>
      </c>
      <c r="I873" t="s">
        <v>11882</v>
      </c>
      <c r="J873" t="s">
        <v>11883</v>
      </c>
      <c r="K873" t="s">
        <v>74</v>
      </c>
      <c r="L873" t="s">
        <v>74</v>
      </c>
      <c r="M873" t="s">
        <v>77</v>
      </c>
      <c r="N873" t="s">
        <v>153</v>
      </c>
      <c r="O873" t="s">
        <v>74</v>
      </c>
      <c r="P873" t="s">
        <v>74</v>
      </c>
      <c r="Q873" t="s">
        <v>74</v>
      </c>
      <c r="R873" t="s">
        <v>74</v>
      </c>
      <c r="S873" t="s">
        <v>74</v>
      </c>
      <c r="T873" t="s">
        <v>11884</v>
      </c>
      <c r="U873" t="s">
        <v>11885</v>
      </c>
      <c r="V873" t="s">
        <v>11886</v>
      </c>
      <c r="W873" t="s">
        <v>11887</v>
      </c>
      <c r="X873" t="s">
        <v>10580</v>
      </c>
      <c r="Y873" t="s">
        <v>11888</v>
      </c>
      <c r="Z873" t="s">
        <v>74</v>
      </c>
      <c r="AA873" t="s">
        <v>11889</v>
      </c>
      <c r="AB873" t="s">
        <v>11890</v>
      </c>
      <c r="AC873" t="s">
        <v>74</v>
      </c>
      <c r="AD873" t="s">
        <v>74</v>
      </c>
      <c r="AE873" t="s">
        <v>74</v>
      </c>
      <c r="AF873" t="s">
        <v>74</v>
      </c>
      <c r="AG873">
        <v>29</v>
      </c>
      <c r="AH873">
        <v>20</v>
      </c>
      <c r="AI873">
        <v>23</v>
      </c>
      <c r="AJ873">
        <v>0</v>
      </c>
      <c r="AK873">
        <v>9</v>
      </c>
      <c r="AL873" t="s">
        <v>11891</v>
      </c>
      <c r="AM873" t="s">
        <v>11892</v>
      </c>
      <c r="AN873" t="s">
        <v>11893</v>
      </c>
      <c r="AO873" t="s">
        <v>11894</v>
      </c>
      <c r="AP873" t="s">
        <v>74</v>
      </c>
      <c r="AQ873" t="s">
        <v>74</v>
      </c>
      <c r="AR873" t="s">
        <v>11895</v>
      </c>
      <c r="AS873" t="s">
        <v>11896</v>
      </c>
      <c r="AT873" t="s">
        <v>74</v>
      </c>
      <c r="AU873">
        <v>2002</v>
      </c>
      <c r="AV873">
        <v>24</v>
      </c>
      <c r="AW873" t="s">
        <v>74</v>
      </c>
      <c r="AX873" t="s">
        <v>74</v>
      </c>
      <c r="AY873" t="s">
        <v>74</v>
      </c>
      <c r="AZ873" t="s">
        <v>74</v>
      </c>
      <c r="BA873" t="s">
        <v>74</v>
      </c>
      <c r="BB873">
        <v>19</v>
      </c>
      <c r="BC873">
        <v>25</v>
      </c>
      <c r="BD873" t="s">
        <v>74</v>
      </c>
      <c r="BE873" t="s">
        <v>11897</v>
      </c>
      <c r="BF873" t="str">
        <f>HYPERLINK("http://dx.doi.org/10.2989/025776102784528312","http://dx.doi.org/10.2989/025776102784528312")</f>
        <v>http://dx.doi.org/10.2989/025776102784528312</v>
      </c>
      <c r="BG873" t="s">
        <v>74</v>
      </c>
      <c r="BH873" t="s">
        <v>74</v>
      </c>
      <c r="BI873">
        <v>7</v>
      </c>
      <c r="BJ873" t="s">
        <v>1919</v>
      </c>
      <c r="BK873" t="s">
        <v>170</v>
      </c>
      <c r="BL873" t="s">
        <v>1919</v>
      </c>
      <c r="BM873" t="s">
        <v>11898</v>
      </c>
      <c r="BN873" t="s">
        <v>74</v>
      </c>
      <c r="BO873" t="s">
        <v>173</v>
      </c>
      <c r="BP873" t="s">
        <v>74</v>
      </c>
      <c r="BQ873" t="s">
        <v>74</v>
      </c>
      <c r="BR873" t="s">
        <v>107</v>
      </c>
      <c r="BS873" t="s">
        <v>11899</v>
      </c>
      <c r="BT873" t="str">
        <f>HYPERLINK("https%3A%2F%2Fwww.webofscience.com%2Fwos%2Fwoscc%2Ffull-record%2FWOS:000177975200003","View Full Record in Web of Science")</f>
        <v>View Full Record in Web of Science</v>
      </c>
    </row>
    <row r="874" spans="1:72" x14ac:dyDescent="0.15">
      <c r="A874" t="s">
        <v>72</v>
      </c>
      <c r="B874" t="s">
        <v>11900</v>
      </c>
      <c r="C874" t="s">
        <v>74</v>
      </c>
      <c r="D874" t="s">
        <v>74</v>
      </c>
      <c r="E874" t="s">
        <v>74</v>
      </c>
      <c r="F874" t="s">
        <v>11900</v>
      </c>
      <c r="G874" t="s">
        <v>74</v>
      </c>
      <c r="H874" t="s">
        <v>74</v>
      </c>
      <c r="I874" t="s">
        <v>11901</v>
      </c>
      <c r="J874" t="s">
        <v>11883</v>
      </c>
      <c r="K874" t="s">
        <v>74</v>
      </c>
      <c r="L874" t="s">
        <v>74</v>
      </c>
      <c r="M874" t="s">
        <v>77</v>
      </c>
      <c r="N874" t="s">
        <v>153</v>
      </c>
      <c r="O874" t="s">
        <v>74</v>
      </c>
      <c r="P874" t="s">
        <v>74</v>
      </c>
      <c r="Q874" t="s">
        <v>74</v>
      </c>
      <c r="R874" t="s">
        <v>74</v>
      </c>
      <c r="S874" t="s">
        <v>74</v>
      </c>
      <c r="T874" t="s">
        <v>11902</v>
      </c>
      <c r="U874" t="s">
        <v>11903</v>
      </c>
      <c r="V874" t="s">
        <v>11904</v>
      </c>
      <c r="W874" t="s">
        <v>11905</v>
      </c>
      <c r="X874" t="s">
        <v>768</v>
      </c>
      <c r="Y874" t="s">
        <v>11906</v>
      </c>
      <c r="Z874" t="s">
        <v>74</v>
      </c>
      <c r="AA874" t="s">
        <v>11907</v>
      </c>
      <c r="AB874" t="s">
        <v>11908</v>
      </c>
      <c r="AC874" t="s">
        <v>74</v>
      </c>
      <c r="AD874" t="s">
        <v>74</v>
      </c>
      <c r="AE874" t="s">
        <v>74</v>
      </c>
      <c r="AF874" t="s">
        <v>74</v>
      </c>
      <c r="AG874">
        <v>21</v>
      </c>
      <c r="AH874">
        <v>14</v>
      </c>
      <c r="AI874">
        <v>15</v>
      </c>
      <c r="AJ874">
        <v>0</v>
      </c>
      <c r="AK874">
        <v>7</v>
      </c>
      <c r="AL874" t="s">
        <v>11891</v>
      </c>
      <c r="AM874" t="s">
        <v>11892</v>
      </c>
      <c r="AN874" t="s">
        <v>11893</v>
      </c>
      <c r="AO874" t="s">
        <v>11894</v>
      </c>
      <c r="AP874" t="s">
        <v>74</v>
      </c>
      <c r="AQ874" t="s">
        <v>74</v>
      </c>
      <c r="AR874" t="s">
        <v>11895</v>
      </c>
      <c r="AS874" t="s">
        <v>11896</v>
      </c>
      <c r="AT874" t="s">
        <v>74</v>
      </c>
      <c r="AU874">
        <v>2002</v>
      </c>
      <c r="AV874">
        <v>24</v>
      </c>
      <c r="AW874" t="s">
        <v>74</v>
      </c>
      <c r="AX874" t="s">
        <v>74</v>
      </c>
      <c r="AY874" t="s">
        <v>74</v>
      </c>
      <c r="AZ874" t="s">
        <v>74</v>
      </c>
      <c r="BA874" t="s">
        <v>74</v>
      </c>
      <c r="BB874">
        <v>383</v>
      </c>
      <c r="BC874">
        <v>386</v>
      </c>
      <c r="BD874" t="s">
        <v>74</v>
      </c>
      <c r="BE874" t="s">
        <v>11909</v>
      </c>
      <c r="BF874" t="str">
        <f>HYPERLINK("http://dx.doi.org/10.2989/025776102784528295","http://dx.doi.org/10.2989/025776102784528295")</f>
        <v>http://dx.doi.org/10.2989/025776102784528295</v>
      </c>
      <c r="BG874" t="s">
        <v>74</v>
      </c>
      <c r="BH874" t="s">
        <v>74</v>
      </c>
      <c r="BI874">
        <v>4</v>
      </c>
      <c r="BJ874" t="s">
        <v>1919</v>
      </c>
      <c r="BK874" t="s">
        <v>170</v>
      </c>
      <c r="BL874" t="s">
        <v>1919</v>
      </c>
      <c r="BM874" t="s">
        <v>11898</v>
      </c>
      <c r="BN874" t="s">
        <v>74</v>
      </c>
      <c r="BO874" t="s">
        <v>74</v>
      </c>
      <c r="BP874" t="s">
        <v>74</v>
      </c>
      <c r="BQ874" t="s">
        <v>74</v>
      </c>
      <c r="BR874" t="s">
        <v>107</v>
      </c>
      <c r="BS874" t="s">
        <v>11910</v>
      </c>
      <c r="BT874" t="str">
        <f>HYPERLINK("https%3A%2F%2Fwww.webofscience.com%2Fwos%2Fwoscc%2Ffull-record%2FWOS:000177975200033","View Full Record in Web of Science")</f>
        <v>View Full Record in Web of Science</v>
      </c>
    </row>
    <row r="875" spans="1:72" x14ac:dyDescent="0.15">
      <c r="A875" t="s">
        <v>72</v>
      </c>
      <c r="B875" t="s">
        <v>11911</v>
      </c>
      <c r="C875" t="s">
        <v>74</v>
      </c>
      <c r="D875" t="s">
        <v>74</v>
      </c>
      <c r="E875" t="s">
        <v>74</v>
      </c>
      <c r="F875" t="s">
        <v>11911</v>
      </c>
      <c r="G875" t="s">
        <v>74</v>
      </c>
      <c r="H875" t="s">
        <v>74</v>
      </c>
      <c r="I875" t="s">
        <v>11912</v>
      </c>
      <c r="J875" t="s">
        <v>3076</v>
      </c>
      <c r="K875" t="s">
        <v>74</v>
      </c>
      <c r="L875" t="s">
        <v>74</v>
      </c>
      <c r="M875" t="s">
        <v>77</v>
      </c>
      <c r="N875" t="s">
        <v>947</v>
      </c>
      <c r="O875" t="s">
        <v>74</v>
      </c>
      <c r="P875" t="s">
        <v>74</v>
      </c>
      <c r="Q875" t="s">
        <v>74</v>
      </c>
      <c r="R875" t="s">
        <v>74</v>
      </c>
      <c r="S875" t="s">
        <v>74</v>
      </c>
      <c r="T875" t="s">
        <v>74</v>
      </c>
      <c r="U875" t="s">
        <v>11913</v>
      </c>
      <c r="V875" t="s">
        <v>11914</v>
      </c>
      <c r="W875" t="s">
        <v>11915</v>
      </c>
      <c r="X875" t="s">
        <v>11916</v>
      </c>
      <c r="Y875" t="s">
        <v>11917</v>
      </c>
      <c r="Z875" t="s">
        <v>11918</v>
      </c>
      <c r="AA875" t="s">
        <v>74</v>
      </c>
      <c r="AB875" t="s">
        <v>74</v>
      </c>
      <c r="AC875" t="s">
        <v>74</v>
      </c>
      <c r="AD875" t="s">
        <v>74</v>
      </c>
      <c r="AE875" t="s">
        <v>74</v>
      </c>
      <c r="AF875" t="s">
        <v>74</v>
      </c>
      <c r="AG875">
        <v>123</v>
      </c>
      <c r="AH875">
        <v>38</v>
      </c>
      <c r="AI875">
        <v>44</v>
      </c>
      <c r="AJ875">
        <v>0</v>
      </c>
      <c r="AK875">
        <v>13</v>
      </c>
      <c r="AL875" t="s">
        <v>3077</v>
      </c>
      <c r="AM875" t="s">
        <v>3078</v>
      </c>
      <c r="AN875" t="s">
        <v>3079</v>
      </c>
      <c r="AO875" t="s">
        <v>3080</v>
      </c>
      <c r="AP875" t="s">
        <v>3081</v>
      </c>
      <c r="AQ875" t="s">
        <v>74</v>
      </c>
      <c r="AR875" t="s">
        <v>3082</v>
      </c>
      <c r="AS875" t="s">
        <v>3083</v>
      </c>
      <c r="AT875" t="s">
        <v>7731</v>
      </c>
      <c r="AU875">
        <v>2002</v>
      </c>
      <c r="AV875">
        <v>98</v>
      </c>
      <c r="AW875" t="s">
        <v>98</v>
      </c>
      <c r="AX875" t="s">
        <v>74</v>
      </c>
      <c r="AY875" t="s">
        <v>74</v>
      </c>
      <c r="AZ875" t="s">
        <v>74</v>
      </c>
      <c r="BA875" t="s">
        <v>74</v>
      </c>
      <c r="BB875">
        <v>71</v>
      </c>
      <c r="BC875">
        <v>81</v>
      </c>
      <c r="BD875" t="s">
        <v>74</v>
      </c>
      <c r="BE875" t="s">
        <v>74</v>
      </c>
      <c r="BF875" t="s">
        <v>74</v>
      </c>
      <c r="BG875" t="s">
        <v>74</v>
      </c>
      <c r="BH875" t="s">
        <v>74</v>
      </c>
      <c r="BI875">
        <v>11</v>
      </c>
      <c r="BJ875" t="s">
        <v>662</v>
      </c>
      <c r="BK875" t="s">
        <v>170</v>
      </c>
      <c r="BL875" t="s">
        <v>663</v>
      </c>
      <c r="BM875" t="s">
        <v>11919</v>
      </c>
      <c r="BN875" t="s">
        <v>74</v>
      </c>
      <c r="BO875" t="s">
        <v>74</v>
      </c>
      <c r="BP875" t="s">
        <v>74</v>
      </c>
      <c r="BQ875" t="s">
        <v>74</v>
      </c>
      <c r="BR875" t="s">
        <v>107</v>
      </c>
      <c r="BS875" t="s">
        <v>11920</v>
      </c>
      <c r="BT875" t="str">
        <f>HYPERLINK("https%3A%2F%2Fwww.webofscience.com%2Fwos%2Fwoscc%2Ffull-record%2FWOS:000175029100019","View Full Record in Web of Science")</f>
        <v>View Full Record in Web of Science</v>
      </c>
    </row>
    <row r="876" spans="1:72" x14ac:dyDescent="0.15">
      <c r="A876" t="s">
        <v>72</v>
      </c>
      <c r="B876" t="s">
        <v>11921</v>
      </c>
      <c r="C876" t="s">
        <v>74</v>
      </c>
      <c r="D876" t="s">
        <v>74</v>
      </c>
      <c r="E876" t="s">
        <v>74</v>
      </c>
      <c r="F876" t="s">
        <v>11921</v>
      </c>
      <c r="G876" t="s">
        <v>74</v>
      </c>
      <c r="H876" t="s">
        <v>74</v>
      </c>
      <c r="I876" t="s">
        <v>11922</v>
      </c>
      <c r="J876" t="s">
        <v>3076</v>
      </c>
      <c r="K876" t="s">
        <v>74</v>
      </c>
      <c r="L876" t="s">
        <v>74</v>
      </c>
      <c r="M876" t="s">
        <v>77</v>
      </c>
      <c r="N876" t="s">
        <v>153</v>
      </c>
      <c r="O876" t="s">
        <v>74</v>
      </c>
      <c r="P876" t="s">
        <v>74</v>
      </c>
      <c r="Q876" t="s">
        <v>74</v>
      </c>
      <c r="R876" t="s">
        <v>74</v>
      </c>
      <c r="S876" t="s">
        <v>74</v>
      </c>
      <c r="T876" t="s">
        <v>74</v>
      </c>
      <c r="U876" t="s">
        <v>11923</v>
      </c>
      <c r="V876" t="s">
        <v>11924</v>
      </c>
      <c r="W876" t="s">
        <v>11925</v>
      </c>
      <c r="X876" t="s">
        <v>11926</v>
      </c>
      <c r="Y876" t="s">
        <v>11927</v>
      </c>
      <c r="Z876" t="s">
        <v>74</v>
      </c>
      <c r="AA876" t="s">
        <v>74</v>
      </c>
      <c r="AB876" t="s">
        <v>74</v>
      </c>
      <c r="AC876" t="s">
        <v>74</v>
      </c>
      <c r="AD876" t="s">
        <v>74</v>
      </c>
      <c r="AE876" t="s">
        <v>74</v>
      </c>
      <c r="AF876" t="s">
        <v>74</v>
      </c>
      <c r="AG876">
        <v>100</v>
      </c>
      <c r="AH876">
        <v>82</v>
      </c>
      <c r="AI876">
        <v>105</v>
      </c>
      <c r="AJ876">
        <v>1</v>
      </c>
      <c r="AK876">
        <v>24</v>
      </c>
      <c r="AL876" t="s">
        <v>3077</v>
      </c>
      <c r="AM876" t="s">
        <v>3078</v>
      </c>
      <c r="AN876" t="s">
        <v>3079</v>
      </c>
      <c r="AO876" t="s">
        <v>3080</v>
      </c>
      <c r="AP876" t="s">
        <v>74</v>
      </c>
      <c r="AQ876" t="s">
        <v>74</v>
      </c>
      <c r="AR876" t="s">
        <v>3082</v>
      </c>
      <c r="AS876" t="s">
        <v>3083</v>
      </c>
      <c r="AT876" t="s">
        <v>7731</v>
      </c>
      <c r="AU876">
        <v>2002</v>
      </c>
      <c r="AV876">
        <v>98</v>
      </c>
      <c r="AW876" t="s">
        <v>98</v>
      </c>
      <c r="AX876" t="s">
        <v>74</v>
      </c>
      <c r="AY876" t="s">
        <v>74</v>
      </c>
      <c r="AZ876" t="s">
        <v>74</v>
      </c>
      <c r="BA876" t="s">
        <v>74</v>
      </c>
      <c r="BB876">
        <v>82</v>
      </c>
      <c r="BC876">
        <v>90</v>
      </c>
      <c r="BD876" t="s">
        <v>74</v>
      </c>
      <c r="BE876" t="s">
        <v>74</v>
      </c>
      <c r="BF876" t="s">
        <v>74</v>
      </c>
      <c r="BG876" t="s">
        <v>74</v>
      </c>
      <c r="BH876" t="s">
        <v>74</v>
      </c>
      <c r="BI876">
        <v>9</v>
      </c>
      <c r="BJ876" t="s">
        <v>662</v>
      </c>
      <c r="BK876" t="s">
        <v>170</v>
      </c>
      <c r="BL876" t="s">
        <v>663</v>
      </c>
      <c r="BM876" t="s">
        <v>11919</v>
      </c>
      <c r="BN876" t="s">
        <v>74</v>
      </c>
      <c r="BO876" t="s">
        <v>74</v>
      </c>
      <c r="BP876" t="s">
        <v>74</v>
      </c>
      <c r="BQ876" t="s">
        <v>74</v>
      </c>
      <c r="BR876" t="s">
        <v>107</v>
      </c>
      <c r="BS876" t="s">
        <v>11928</v>
      </c>
      <c r="BT876" t="str">
        <f>HYPERLINK("https%3A%2F%2Fwww.webofscience.com%2Fwos%2Fwoscc%2Ffull-record%2FWOS:000175029100020","View Full Record in Web of Science")</f>
        <v>View Full Record in Web of Science</v>
      </c>
    </row>
    <row r="877" spans="1:72" x14ac:dyDescent="0.15">
      <c r="A877" t="s">
        <v>1051</v>
      </c>
      <c r="B877" t="s">
        <v>11929</v>
      </c>
      <c r="C877" t="s">
        <v>74</v>
      </c>
      <c r="D877" t="s">
        <v>11930</v>
      </c>
      <c r="E877" t="s">
        <v>74</v>
      </c>
      <c r="F877" t="s">
        <v>11929</v>
      </c>
      <c r="G877" t="s">
        <v>74</v>
      </c>
      <c r="H877" t="s">
        <v>74</v>
      </c>
      <c r="I877" t="s">
        <v>11931</v>
      </c>
      <c r="J877" t="s">
        <v>11932</v>
      </c>
      <c r="K877" t="s">
        <v>8985</v>
      </c>
      <c r="L877" t="s">
        <v>74</v>
      </c>
      <c r="M877" t="s">
        <v>77</v>
      </c>
      <c r="N877" t="s">
        <v>78</v>
      </c>
      <c r="O877" t="s">
        <v>11933</v>
      </c>
      <c r="P877" t="s">
        <v>7054</v>
      </c>
      <c r="Q877" t="s">
        <v>7055</v>
      </c>
      <c r="R877" t="s">
        <v>74</v>
      </c>
      <c r="S877" t="s">
        <v>74</v>
      </c>
      <c r="T877" t="s">
        <v>74</v>
      </c>
      <c r="U877" t="s">
        <v>11934</v>
      </c>
      <c r="V877" t="s">
        <v>11935</v>
      </c>
      <c r="W877" t="s">
        <v>11936</v>
      </c>
      <c r="X877" t="s">
        <v>11937</v>
      </c>
      <c r="Y877" t="s">
        <v>11938</v>
      </c>
      <c r="Z877" t="s">
        <v>74</v>
      </c>
      <c r="AA877" t="s">
        <v>74</v>
      </c>
      <c r="AB877" t="s">
        <v>11939</v>
      </c>
      <c r="AC877" t="s">
        <v>74</v>
      </c>
      <c r="AD877" t="s">
        <v>74</v>
      </c>
      <c r="AE877" t="s">
        <v>74</v>
      </c>
      <c r="AF877" t="s">
        <v>74</v>
      </c>
      <c r="AG877">
        <v>6</v>
      </c>
      <c r="AH877">
        <v>4</v>
      </c>
      <c r="AI877">
        <v>4</v>
      </c>
      <c r="AJ877">
        <v>0</v>
      </c>
      <c r="AK877">
        <v>1</v>
      </c>
      <c r="AL877" t="s">
        <v>1013</v>
      </c>
      <c r="AM877" t="s">
        <v>895</v>
      </c>
      <c r="AN877" t="s">
        <v>1014</v>
      </c>
      <c r="AO877" t="s">
        <v>7062</v>
      </c>
      <c r="AP877" t="s">
        <v>74</v>
      </c>
      <c r="AQ877" t="s">
        <v>74</v>
      </c>
      <c r="AR877" t="s">
        <v>8992</v>
      </c>
      <c r="AS877" t="s">
        <v>74</v>
      </c>
      <c r="AT877" t="s">
        <v>74</v>
      </c>
      <c r="AU877">
        <v>2002</v>
      </c>
      <c r="AV877">
        <v>30</v>
      </c>
      <c r="AW877">
        <v>4</v>
      </c>
      <c r="AX877" t="s">
        <v>74</v>
      </c>
      <c r="AY877" t="s">
        <v>74</v>
      </c>
      <c r="AZ877" t="s">
        <v>74</v>
      </c>
      <c r="BA877" t="s">
        <v>74</v>
      </c>
      <c r="BB877">
        <v>1045</v>
      </c>
      <c r="BC877">
        <v>1048</v>
      </c>
      <c r="BD877" t="s">
        <v>11940</v>
      </c>
      <c r="BE877" t="s">
        <v>11941</v>
      </c>
      <c r="BF877" t="str">
        <f>HYPERLINK("http://dx.doi.org/10.1016/S0273-1177(02)00496-9","http://dx.doi.org/10.1016/S0273-1177(02)00496-9")</f>
        <v>http://dx.doi.org/10.1016/S0273-1177(02)00496-9</v>
      </c>
      <c r="BG877" t="s">
        <v>74</v>
      </c>
      <c r="BH877" t="s">
        <v>74</v>
      </c>
      <c r="BI877">
        <v>4</v>
      </c>
      <c r="BJ877" t="s">
        <v>7066</v>
      </c>
      <c r="BK877" t="s">
        <v>744</v>
      </c>
      <c r="BL877" t="s">
        <v>7067</v>
      </c>
      <c r="BM877" t="s">
        <v>11942</v>
      </c>
      <c r="BN877">
        <v>12539785</v>
      </c>
      <c r="BO877" t="s">
        <v>74</v>
      </c>
      <c r="BP877" t="s">
        <v>74</v>
      </c>
      <c r="BQ877" t="s">
        <v>74</v>
      </c>
      <c r="BR877" t="s">
        <v>107</v>
      </c>
      <c r="BS877" t="s">
        <v>11943</v>
      </c>
      <c r="BT877" t="str">
        <f>HYPERLINK("https%3A%2F%2Fwww.webofscience.com%2Fwos%2Fwoscc%2Ffull-record%2FWOS:000179730600048","View Full Record in Web of Science")</f>
        <v>View Full Record in Web of Science</v>
      </c>
    </row>
    <row r="878" spans="1:72" x14ac:dyDescent="0.15">
      <c r="A878" t="s">
        <v>1051</v>
      </c>
      <c r="B878" t="s">
        <v>11944</v>
      </c>
      <c r="C878" t="s">
        <v>74</v>
      </c>
      <c r="D878" t="s">
        <v>11930</v>
      </c>
      <c r="E878" t="s">
        <v>74</v>
      </c>
      <c r="F878" t="s">
        <v>11944</v>
      </c>
      <c r="G878" t="s">
        <v>74</v>
      </c>
      <c r="H878" t="s">
        <v>74</v>
      </c>
      <c r="I878" t="s">
        <v>11945</v>
      </c>
      <c r="J878" t="s">
        <v>11932</v>
      </c>
      <c r="K878" t="s">
        <v>8985</v>
      </c>
      <c r="L878" t="s">
        <v>74</v>
      </c>
      <c r="M878" t="s">
        <v>77</v>
      </c>
      <c r="N878" t="s">
        <v>78</v>
      </c>
      <c r="O878" t="s">
        <v>11933</v>
      </c>
      <c r="P878" t="s">
        <v>7054</v>
      </c>
      <c r="Q878" t="s">
        <v>7055</v>
      </c>
      <c r="R878" t="s">
        <v>74</v>
      </c>
      <c r="S878" t="s">
        <v>74</v>
      </c>
      <c r="T878" t="s">
        <v>74</v>
      </c>
      <c r="U878" t="s">
        <v>11934</v>
      </c>
      <c r="V878" t="s">
        <v>11946</v>
      </c>
      <c r="W878" t="s">
        <v>11947</v>
      </c>
      <c r="X878" t="s">
        <v>1164</v>
      </c>
      <c r="Y878" t="s">
        <v>11948</v>
      </c>
      <c r="Z878" t="s">
        <v>74</v>
      </c>
      <c r="AA878" t="s">
        <v>74</v>
      </c>
      <c r="AB878" t="s">
        <v>74</v>
      </c>
      <c r="AC878" t="s">
        <v>74</v>
      </c>
      <c r="AD878" t="s">
        <v>74</v>
      </c>
      <c r="AE878" t="s">
        <v>74</v>
      </c>
      <c r="AF878" t="s">
        <v>74</v>
      </c>
      <c r="AG878">
        <v>10</v>
      </c>
      <c r="AH878">
        <v>5</v>
      </c>
      <c r="AI878">
        <v>5</v>
      </c>
      <c r="AJ878">
        <v>0</v>
      </c>
      <c r="AK878">
        <v>1</v>
      </c>
      <c r="AL878" t="s">
        <v>1013</v>
      </c>
      <c r="AM878" t="s">
        <v>895</v>
      </c>
      <c r="AN878" t="s">
        <v>1014</v>
      </c>
      <c r="AO878" t="s">
        <v>7062</v>
      </c>
      <c r="AP878" t="s">
        <v>74</v>
      </c>
      <c r="AQ878" t="s">
        <v>74</v>
      </c>
      <c r="AR878" t="s">
        <v>8992</v>
      </c>
      <c r="AS878" t="s">
        <v>74</v>
      </c>
      <c r="AT878" t="s">
        <v>74</v>
      </c>
      <c r="AU878">
        <v>2002</v>
      </c>
      <c r="AV878">
        <v>30</v>
      </c>
      <c r="AW878">
        <v>4</v>
      </c>
      <c r="AX878" t="s">
        <v>74</v>
      </c>
      <c r="AY878" t="s">
        <v>74</v>
      </c>
      <c r="AZ878" t="s">
        <v>74</v>
      </c>
      <c r="BA878" t="s">
        <v>74</v>
      </c>
      <c r="BB878">
        <v>1049</v>
      </c>
      <c r="BC878">
        <v>1052</v>
      </c>
      <c r="BD878" t="s">
        <v>11949</v>
      </c>
      <c r="BE878" t="s">
        <v>11950</v>
      </c>
      <c r="BF878" t="str">
        <f>HYPERLINK("http://dx.doi.org/10.1016/S0273-1177(02)00495-7","http://dx.doi.org/10.1016/S0273-1177(02)00495-7")</f>
        <v>http://dx.doi.org/10.1016/S0273-1177(02)00495-7</v>
      </c>
      <c r="BG878" t="s">
        <v>74</v>
      </c>
      <c r="BH878" t="s">
        <v>74</v>
      </c>
      <c r="BI878">
        <v>4</v>
      </c>
      <c r="BJ878" t="s">
        <v>7066</v>
      </c>
      <c r="BK878" t="s">
        <v>744</v>
      </c>
      <c r="BL878" t="s">
        <v>7067</v>
      </c>
      <c r="BM878" t="s">
        <v>11942</v>
      </c>
      <c r="BN878">
        <v>12539786</v>
      </c>
      <c r="BO878" t="s">
        <v>74</v>
      </c>
      <c r="BP878" t="s">
        <v>74</v>
      </c>
      <c r="BQ878" t="s">
        <v>74</v>
      </c>
      <c r="BR878" t="s">
        <v>107</v>
      </c>
      <c r="BS878" t="s">
        <v>11951</v>
      </c>
      <c r="BT878" t="str">
        <f>HYPERLINK("https%3A%2F%2Fwww.webofscience.com%2Fwos%2Fwoscc%2Ffull-record%2FWOS:000179730600049","View Full Record in Web of Science")</f>
        <v>View Full Record in Web of Science</v>
      </c>
    </row>
    <row r="879" spans="1:72" x14ac:dyDescent="0.15">
      <c r="A879" t="s">
        <v>1051</v>
      </c>
      <c r="B879" t="s">
        <v>11952</v>
      </c>
      <c r="C879" t="s">
        <v>74</v>
      </c>
      <c r="D879" t="s">
        <v>11953</v>
      </c>
      <c r="E879" t="s">
        <v>74</v>
      </c>
      <c r="F879" t="s">
        <v>11952</v>
      </c>
      <c r="G879" t="s">
        <v>74</v>
      </c>
      <c r="H879" t="s">
        <v>74</v>
      </c>
      <c r="I879" t="s">
        <v>11954</v>
      </c>
      <c r="J879" t="s">
        <v>11955</v>
      </c>
      <c r="K879" t="s">
        <v>8985</v>
      </c>
      <c r="L879" t="s">
        <v>74</v>
      </c>
      <c r="M879" t="s">
        <v>77</v>
      </c>
      <c r="N879" t="s">
        <v>78</v>
      </c>
      <c r="O879" t="s">
        <v>11956</v>
      </c>
      <c r="P879" t="s">
        <v>11957</v>
      </c>
      <c r="Q879" t="s">
        <v>7055</v>
      </c>
      <c r="R879" t="s">
        <v>74</v>
      </c>
      <c r="S879" t="s">
        <v>74</v>
      </c>
      <c r="T879" t="s">
        <v>74</v>
      </c>
      <c r="U879" t="s">
        <v>11958</v>
      </c>
      <c r="V879" t="s">
        <v>11959</v>
      </c>
      <c r="W879" t="s">
        <v>11960</v>
      </c>
      <c r="X879" t="s">
        <v>11961</v>
      </c>
      <c r="Y879" t="s">
        <v>11962</v>
      </c>
      <c r="Z879" t="s">
        <v>74</v>
      </c>
      <c r="AA879" t="s">
        <v>11963</v>
      </c>
      <c r="AB879" t="s">
        <v>11964</v>
      </c>
      <c r="AC879" t="s">
        <v>74</v>
      </c>
      <c r="AD879" t="s">
        <v>74</v>
      </c>
      <c r="AE879" t="s">
        <v>74</v>
      </c>
      <c r="AF879" t="s">
        <v>74</v>
      </c>
      <c r="AG879">
        <v>91</v>
      </c>
      <c r="AH879">
        <v>58</v>
      </c>
      <c r="AI879">
        <v>71</v>
      </c>
      <c r="AJ879">
        <v>0</v>
      </c>
      <c r="AK879">
        <v>23</v>
      </c>
      <c r="AL879" t="s">
        <v>1013</v>
      </c>
      <c r="AM879" t="s">
        <v>895</v>
      </c>
      <c r="AN879" t="s">
        <v>1014</v>
      </c>
      <c r="AO879" t="s">
        <v>7062</v>
      </c>
      <c r="AP879" t="s">
        <v>74</v>
      </c>
      <c r="AQ879" t="s">
        <v>74</v>
      </c>
      <c r="AR879" t="s">
        <v>8992</v>
      </c>
      <c r="AS879" t="s">
        <v>74</v>
      </c>
      <c r="AT879" t="s">
        <v>74</v>
      </c>
      <c r="AU879">
        <v>2002</v>
      </c>
      <c r="AV879">
        <v>30</v>
      </c>
      <c r="AW879">
        <v>6</v>
      </c>
      <c r="AX879" t="s">
        <v>74</v>
      </c>
      <c r="AY879" t="s">
        <v>74</v>
      </c>
      <c r="AZ879" t="s">
        <v>74</v>
      </c>
      <c r="BA879" t="s">
        <v>74</v>
      </c>
      <c r="BB879">
        <v>1547</v>
      </c>
      <c r="BC879">
        <v>1556</v>
      </c>
      <c r="BD879" t="s">
        <v>11965</v>
      </c>
      <c r="BE879" t="s">
        <v>11966</v>
      </c>
      <c r="BF879" t="str">
        <f>HYPERLINK("http://dx.doi.org/10.1016/S0273-1177(02)00370-8","http://dx.doi.org/10.1016/S0273-1177(02)00370-8")</f>
        <v>http://dx.doi.org/10.1016/S0273-1177(02)00370-8</v>
      </c>
      <c r="BG879" t="s">
        <v>74</v>
      </c>
      <c r="BH879" t="s">
        <v>74</v>
      </c>
      <c r="BI879">
        <v>10</v>
      </c>
      <c r="BJ879" t="s">
        <v>11967</v>
      </c>
      <c r="BK879" t="s">
        <v>744</v>
      </c>
      <c r="BL879" t="s">
        <v>11968</v>
      </c>
      <c r="BM879" t="s">
        <v>11969</v>
      </c>
      <c r="BN879">
        <v>12575720</v>
      </c>
      <c r="BO879" t="s">
        <v>74</v>
      </c>
      <c r="BP879" t="s">
        <v>74</v>
      </c>
      <c r="BQ879" t="s">
        <v>74</v>
      </c>
      <c r="BR879" t="s">
        <v>107</v>
      </c>
      <c r="BS879" t="s">
        <v>11970</v>
      </c>
      <c r="BT879" t="str">
        <f>HYPERLINK("https%3A%2F%2Fwww.webofscience.com%2Fwos%2Fwoscc%2Ffull-record%2FWOS:000179771000020","View Full Record in Web of Science")</f>
        <v>View Full Record in Web of Science</v>
      </c>
    </row>
    <row r="880" spans="1:72" x14ac:dyDescent="0.15">
      <c r="A880" t="s">
        <v>6989</v>
      </c>
      <c r="B880" t="s">
        <v>11971</v>
      </c>
      <c r="C880" t="s">
        <v>74</v>
      </c>
      <c r="D880" t="s">
        <v>11972</v>
      </c>
      <c r="E880" t="s">
        <v>74</v>
      </c>
      <c r="F880" t="s">
        <v>11971</v>
      </c>
      <c r="G880" t="s">
        <v>74</v>
      </c>
      <c r="H880" t="s">
        <v>74</v>
      </c>
      <c r="I880" t="s">
        <v>11973</v>
      </c>
      <c r="J880" t="s">
        <v>11974</v>
      </c>
      <c r="K880" t="s">
        <v>11541</v>
      </c>
      <c r="L880" t="s">
        <v>74</v>
      </c>
      <c r="M880" t="s">
        <v>77</v>
      </c>
      <c r="N880" t="s">
        <v>6994</v>
      </c>
      <c r="O880" t="s">
        <v>11975</v>
      </c>
      <c r="P880" t="s">
        <v>11976</v>
      </c>
      <c r="Q880" t="s">
        <v>11977</v>
      </c>
      <c r="R880" t="s">
        <v>74</v>
      </c>
      <c r="S880" t="s">
        <v>74</v>
      </c>
      <c r="T880" t="s">
        <v>74</v>
      </c>
      <c r="U880" t="s">
        <v>11978</v>
      </c>
      <c r="V880" t="s">
        <v>11979</v>
      </c>
      <c r="W880" t="s">
        <v>11980</v>
      </c>
      <c r="X880" t="s">
        <v>11981</v>
      </c>
      <c r="Y880" t="s">
        <v>11982</v>
      </c>
      <c r="Z880" t="s">
        <v>74</v>
      </c>
      <c r="AA880" t="s">
        <v>11983</v>
      </c>
      <c r="AB880" t="s">
        <v>74</v>
      </c>
      <c r="AC880" t="s">
        <v>74</v>
      </c>
      <c r="AD880" t="s">
        <v>74</v>
      </c>
      <c r="AE880" t="s">
        <v>74</v>
      </c>
      <c r="AF880" t="s">
        <v>74</v>
      </c>
      <c r="AG880">
        <v>15</v>
      </c>
      <c r="AH880">
        <v>1</v>
      </c>
      <c r="AI880">
        <v>1</v>
      </c>
      <c r="AJ880">
        <v>0</v>
      </c>
      <c r="AK880">
        <v>0</v>
      </c>
      <c r="AL880" t="s">
        <v>11984</v>
      </c>
      <c r="AM880" t="s">
        <v>7888</v>
      </c>
      <c r="AN880" t="s">
        <v>11985</v>
      </c>
      <c r="AO880" t="s">
        <v>11534</v>
      </c>
      <c r="AP880" t="s">
        <v>74</v>
      </c>
      <c r="AQ880" t="s">
        <v>11986</v>
      </c>
      <c r="AR880" t="s">
        <v>11549</v>
      </c>
      <c r="AS880" t="s">
        <v>74</v>
      </c>
      <c r="AT880" t="s">
        <v>74</v>
      </c>
      <c r="AU880">
        <v>2002</v>
      </c>
      <c r="AV880">
        <v>485</v>
      </c>
      <c r="AW880" t="s">
        <v>74</v>
      </c>
      <c r="AX880" t="s">
        <v>74</v>
      </c>
      <c r="AY880" t="s">
        <v>74</v>
      </c>
      <c r="AZ880" t="s">
        <v>74</v>
      </c>
      <c r="BA880" t="s">
        <v>74</v>
      </c>
      <c r="BB880">
        <v>219</v>
      </c>
      <c r="BC880">
        <v>224</v>
      </c>
      <c r="BD880" t="s">
        <v>74</v>
      </c>
      <c r="BE880" t="s">
        <v>74</v>
      </c>
      <c r="BF880" t="s">
        <v>74</v>
      </c>
      <c r="BG880" t="s">
        <v>74</v>
      </c>
      <c r="BH880" t="s">
        <v>74</v>
      </c>
      <c r="BI880">
        <v>6</v>
      </c>
      <c r="BJ880" t="s">
        <v>1856</v>
      </c>
      <c r="BK880" t="s">
        <v>7004</v>
      </c>
      <c r="BL880" t="s">
        <v>1856</v>
      </c>
      <c r="BM880" t="s">
        <v>11987</v>
      </c>
      <c r="BN880" t="s">
        <v>74</v>
      </c>
      <c r="BO880" t="s">
        <v>74</v>
      </c>
      <c r="BP880" t="s">
        <v>74</v>
      </c>
      <c r="BQ880" t="s">
        <v>74</v>
      </c>
      <c r="BR880" t="s">
        <v>107</v>
      </c>
      <c r="BS880" t="s">
        <v>11988</v>
      </c>
      <c r="BT880" t="str">
        <f>HYPERLINK("https%3A%2F%2Fwww.webofscience.com%2Fwos%2Fwoscc%2Ffull-record%2FWOS:000176018800029","View Full Record in Web of Science")</f>
        <v>View Full Record in Web of Science</v>
      </c>
    </row>
    <row r="881" spans="1:72" x14ac:dyDescent="0.15">
      <c r="A881" t="s">
        <v>6989</v>
      </c>
      <c r="B881" t="s">
        <v>11989</v>
      </c>
      <c r="C881" t="s">
        <v>74</v>
      </c>
      <c r="D881" t="s">
        <v>11990</v>
      </c>
      <c r="E881" t="s">
        <v>74</v>
      </c>
      <c r="F881" t="s">
        <v>11989</v>
      </c>
      <c r="G881" t="s">
        <v>74</v>
      </c>
      <c r="H881" t="s">
        <v>74</v>
      </c>
      <c r="I881" t="s">
        <v>11991</v>
      </c>
      <c r="J881" t="s">
        <v>11992</v>
      </c>
      <c r="K881" t="s">
        <v>9621</v>
      </c>
      <c r="L881" t="s">
        <v>74</v>
      </c>
      <c r="M881" t="s">
        <v>77</v>
      </c>
      <c r="N881" t="s">
        <v>6994</v>
      </c>
      <c r="O881" t="s">
        <v>11993</v>
      </c>
      <c r="P881" t="s">
        <v>11994</v>
      </c>
      <c r="Q881" t="s">
        <v>9275</v>
      </c>
      <c r="R881" t="s">
        <v>74</v>
      </c>
      <c r="S881" t="s">
        <v>74</v>
      </c>
      <c r="T881" t="s">
        <v>11995</v>
      </c>
      <c r="U881" t="s">
        <v>74</v>
      </c>
      <c r="V881" t="s">
        <v>11996</v>
      </c>
      <c r="W881" t="s">
        <v>11997</v>
      </c>
      <c r="X881" t="s">
        <v>3630</v>
      </c>
      <c r="Y881" t="s">
        <v>11998</v>
      </c>
      <c r="Z881" t="s">
        <v>11999</v>
      </c>
      <c r="AA881" t="s">
        <v>74</v>
      </c>
      <c r="AB881" t="s">
        <v>12000</v>
      </c>
      <c r="AC881" t="s">
        <v>74</v>
      </c>
      <c r="AD881" t="s">
        <v>74</v>
      </c>
      <c r="AE881" t="s">
        <v>74</v>
      </c>
      <c r="AF881" t="s">
        <v>74</v>
      </c>
      <c r="AG881">
        <v>18</v>
      </c>
      <c r="AH881">
        <v>4</v>
      </c>
      <c r="AI881">
        <v>4</v>
      </c>
      <c r="AJ881">
        <v>0</v>
      </c>
      <c r="AK881">
        <v>0</v>
      </c>
      <c r="AL881" t="s">
        <v>9010</v>
      </c>
      <c r="AM881" t="s">
        <v>9011</v>
      </c>
      <c r="AN881" t="s">
        <v>9012</v>
      </c>
      <c r="AO881" t="s">
        <v>9013</v>
      </c>
      <c r="AP881" t="s">
        <v>9632</v>
      </c>
      <c r="AQ881" t="s">
        <v>12001</v>
      </c>
      <c r="AR881" t="s">
        <v>9634</v>
      </c>
      <c r="AS881" t="s">
        <v>74</v>
      </c>
      <c r="AT881" t="s">
        <v>74</v>
      </c>
      <c r="AU881">
        <v>2002</v>
      </c>
      <c r="AV881">
        <v>4836</v>
      </c>
      <c r="AW881" t="s">
        <v>74</v>
      </c>
      <c r="AX881" t="s">
        <v>74</v>
      </c>
      <c r="AY881" t="s">
        <v>74</v>
      </c>
      <c r="AZ881" t="s">
        <v>74</v>
      </c>
      <c r="BA881" t="s">
        <v>74</v>
      </c>
      <c r="BB881">
        <v>129</v>
      </c>
      <c r="BC881">
        <v>137</v>
      </c>
      <c r="BD881" t="s">
        <v>74</v>
      </c>
      <c r="BE881" t="s">
        <v>12002</v>
      </c>
      <c r="BF881" t="str">
        <f>HYPERLINK("http://dx.doi.org/10.1117/12.457000","http://dx.doi.org/10.1117/12.457000")</f>
        <v>http://dx.doi.org/10.1117/12.457000</v>
      </c>
      <c r="BG881" t="s">
        <v>74</v>
      </c>
      <c r="BH881" t="s">
        <v>74</v>
      </c>
      <c r="BI881">
        <v>9</v>
      </c>
      <c r="BJ881" t="s">
        <v>12003</v>
      </c>
      <c r="BK881" t="s">
        <v>7004</v>
      </c>
      <c r="BL881" t="s">
        <v>12003</v>
      </c>
      <c r="BM881" t="s">
        <v>12004</v>
      </c>
      <c r="BN881" t="s">
        <v>74</v>
      </c>
      <c r="BO881" t="s">
        <v>665</v>
      </c>
      <c r="BP881" t="s">
        <v>74</v>
      </c>
      <c r="BQ881" t="s">
        <v>74</v>
      </c>
      <c r="BR881" t="s">
        <v>107</v>
      </c>
      <c r="BS881" t="s">
        <v>12005</v>
      </c>
      <c r="BT881" t="str">
        <f>HYPERLINK("https%3A%2F%2Fwww.webofscience.com%2Fwos%2Fwoscc%2Ffull-record%2FWOS:000180513800016","View Full Record in Web of Science")</f>
        <v>View Full Record in Web of Science</v>
      </c>
    </row>
    <row r="882" spans="1:72" x14ac:dyDescent="0.15">
      <c r="A882" t="s">
        <v>6989</v>
      </c>
      <c r="B882" t="s">
        <v>12006</v>
      </c>
      <c r="C882" t="s">
        <v>74</v>
      </c>
      <c r="D882" t="s">
        <v>11990</v>
      </c>
      <c r="E882" t="s">
        <v>74</v>
      </c>
      <c r="F882" t="s">
        <v>12006</v>
      </c>
      <c r="G882" t="s">
        <v>74</v>
      </c>
      <c r="H882" t="s">
        <v>74</v>
      </c>
      <c r="I882" t="s">
        <v>12007</v>
      </c>
      <c r="J882" t="s">
        <v>11992</v>
      </c>
      <c r="K882" t="s">
        <v>9001</v>
      </c>
      <c r="L882" t="s">
        <v>74</v>
      </c>
      <c r="M882" t="s">
        <v>77</v>
      </c>
      <c r="N882" t="s">
        <v>6994</v>
      </c>
      <c r="O882" t="s">
        <v>11993</v>
      </c>
      <c r="P882" t="s">
        <v>11994</v>
      </c>
      <c r="Q882" t="s">
        <v>9275</v>
      </c>
      <c r="R882" t="s">
        <v>74</v>
      </c>
      <c r="S882" t="s">
        <v>74</v>
      </c>
      <c r="T882" t="s">
        <v>12008</v>
      </c>
      <c r="U882" t="s">
        <v>12009</v>
      </c>
      <c r="V882" t="s">
        <v>12010</v>
      </c>
      <c r="W882" t="s">
        <v>12011</v>
      </c>
      <c r="X882" t="s">
        <v>12012</v>
      </c>
      <c r="Y882" t="s">
        <v>12013</v>
      </c>
      <c r="Z882" t="s">
        <v>74</v>
      </c>
      <c r="AA882" t="s">
        <v>74</v>
      </c>
      <c r="AB882" t="s">
        <v>12014</v>
      </c>
      <c r="AC882" t="s">
        <v>74</v>
      </c>
      <c r="AD882" t="s">
        <v>74</v>
      </c>
      <c r="AE882" t="s">
        <v>74</v>
      </c>
      <c r="AF882" t="s">
        <v>74</v>
      </c>
      <c r="AG882">
        <v>17</v>
      </c>
      <c r="AH882">
        <v>0</v>
      </c>
      <c r="AI882">
        <v>0</v>
      </c>
      <c r="AJ882">
        <v>0</v>
      </c>
      <c r="AK882">
        <v>0</v>
      </c>
      <c r="AL882" t="s">
        <v>9010</v>
      </c>
      <c r="AM882" t="s">
        <v>9011</v>
      </c>
      <c r="AN882" t="s">
        <v>9012</v>
      </c>
      <c r="AO882" t="s">
        <v>9013</v>
      </c>
      <c r="AP882" t="s">
        <v>74</v>
      </c>
      <c r="AQ882" t="s">
        <v>12001</v>
      </c>
      <c r="AR882" t="s">
        <v>9015</v>
      </c>
      <c r="AS882" t="s">
        <v>74</v>
      </c>
      <c r="AT882" t="s">
        <v>74</v>
      </c>
      <c r="AU882">
        <v>2002</v>
      </c>
      <c r="AV882">
        <v>4836</v>
      </c>
      <c r="AW882" t="s">
        <v>74</v>
      </c>
      <c r="AX882" t="s">
        <v>74</v>
      </c>
      <c r="AY882" t="s">
        <v>74</v>
      </c>
      <c r="AZ882" t="s">
        <v>74</v>
      </c>
      <c r="BA882" t="s">
        <v>74</v>
      </c>
      <c r="BB882">
        <v>165</v>
      </c>
      <c r="BC882">
        <v>175</v>
      </c>
      <c r="BD882" t="s">
        <v>74</v>
      </c>
      <c r="BE882" t="s">
        <v>12015</v>
      </c>
      <c r="BF882" t="str">
        <f>HYPERLINK("http://dx.doi.org/10.1117/12.456681","http://dx.doi.org/10.1117/12.456681")</f>
        <v>http://dx.doi.org/10.1117/12.456681</v>
      </c>
      <c r="BG882" t="s">
        <v>74</v>
      </c>
      <c r="BH882" t="s">
        <v>74</v>
      </c>
      <c r="BI882">
        <v>11</v>
      </c>
      <c r="BJ882" t="s">
        <v>12003</v>
      </c>
      <c r="BK882" t="s">
        <v>7004</v>
      </c>
      <c r="BL882" t="s">
        <v>12003</v>
      </c>
      <c r="BM882" t="s">
        <v>12004</v>
      </c>
      <c r="BN882" t="s">
        <v>74</v>
      </c>
      <c r="BO882" t="s">
        <v>74</v>
      </c>
      <c r="BP882" t="s">
        <v>74</v>
      </c>
      <c r="BQ882" t="s">
        <v>74</v>
      </c>
      <c r="BR882" t="s">
        <v>107</v>
      </c>
      <c r="BS882" t="s">
        <v>12016</v>
      </c>
      <c r="BT882" t="str">
        <f>HYPERLINK("https%3A%2F%2Fwww.webofscience.com%2Fwos%2Fwoscc%2Ffull-record%2FWOS:000180513800020","View Full Record in Web of Science")</f>
        <v>View Full Record in Web of Science</v>
      </c>
    </row>
    <row r="883" spans="1:72" x14ac:dyDescent="0.15">
      <c r="A883" t="s">
        <v>6989</v>
      </c>
      <c r="B883" t="s">
        <v>12017</v>
      </c>
      <c r="C883" t="s">
        <v>74</v>
      </c>
      <c r="D883" t="s">
        <v>11990</v>
      </c>
      <c r="E883" t="s">
        <v>74</v>
      </c>
      <c r="F883" t="s">
        <v>12017</v>
      </c>
      <c r="G883" t="s">
        <v>74</v>
      </c>
      <c r="H883" t="s">
        <v>74</v>
      </c>
      <c r="I883" t="s">
        <v>12018</v>
      </c>
      <c r="J883" t="s">
        <v>11992</v>
      </c>
      <c r="K883" t="s">
        <v>9621</v>
      </c>
      <c r="L883" t="s">
        <v>74</v>
      </c>
      <c r="M883" t="s">
        <v>77</v>
      </c>
      <c r="N883" t="s">
        <v>6994</v>
      </c>
      <c r="O883" t="s">
        <v>11993</v>
      </c>
      <c r="P883" t="s">
        <v>11994</v>
      </c>
      <c r="Q883" t="s">
        <v>9275</v>
      </c>
      <c r="R883" t="s">
        <v>74</v>
      </c>
      <c r="S883" t="s">
        <v>74</v>
      </c>
      <c r="T883" t="s">
        <v>12019</v>
      </c>
      <c r="U883" t="s">
        <v>74</v>
      </c>
      <c r="V883" t="s">
        <v>12020</v>
      </c>
      <c r="W883" t="s">
        <v>12021</v>
      </c>
      <c r="X883" t="s">
        <v>3630</v>
      </c>
      <c r="Y883" t="s">
        <v>12022</v>
      </c>
      <c r="Z883" t="s">
        <v>11999</v>
      </c>
      <c r="AA883" t="s">
        <v>74</v>
      </c>
      <c r="AB883" t="s">
        <v>11683</v>
      </c>
      <c r="AC883" t="s">
        <v>74</v>
      </c>
      <c r="AD883" t="s">
        <v>74</v>
      </c>
      <c r="AE883" t="s">
        <v>74</v>
      </c>
      <c r="AF883" t="s">
        <v>74</v>
      </c>
      <c r="AG883">
        <v>5</v>
      </c>
      <c r="AH883">
        <v>10</v>
      </c>
      <c r="AI883">
        <v>10</v>
      </c>
      <c r="AJ883">
        <v>0</v>
      </c>
      <c r="AK883">
        <v>1</v>
      </c>
      <c r="AL883" t="s">
        <v>9010</v>
      </c>
      <c r="AM883" t="s">
        <v>9011</v>
      </c>
      <c r="AN883" t="s">
        <v>9012</v>
      </c>
      <c r="AO883" t="s">
        <v>9013</v>
      </c>
      <c r="AP883" t="s">
        <v>9632</v>
      </c>
      <c r="AQ883" t="s">
        <v>12001</v>
      </c>
      <c r="AR883" t="s">
        <v>9634</v>
      </c>
      <c r="AS883" t="s">
        <v>74</v>
      </c>
      <c r="AT883" t="s">
        <v>74</v>
      </c>
      <c r="AU883">
        <v>2002</v>
      </c>
      <c r="AV883">
        <v>4836</v>
      </c>
      <c r="AW883" t="s">
        <v>74</v>
      </c>
      <c r="AX883" t="s">
        <v>74</v>
      </c>
      <c r="AY883" t="s">
        <v>74</v>
      </c>
      <c r="AZ883" t="s">
        <v>74</v>
      </c>
      <c r="BA883" t="s">
        <v>74</v>
      </c>
      <c r="BB883">
        <v>176</v>
      </c>
      <c r="BC883">
        <v>179</v>
      </c>
      <c r="BD883" t="s">
        <v>74</v>
      </c>
      <c r="BE883" t="s">
        <v>12023</v>
      </c>
      <c r="BF883" t="str">
        <f>HYPERLINK("http://dx.doi.org/10.1117/12.456999","http://dx.doi.org/10.1117/12.456999")</f>
        <v>http://dx.doi.org/10.1117/12.456999</v>
      </c>
      <c r="BG883" t="s">
        <v>74</v>
      </c>
      <c r="BH883" t="s">
        <v>74</v>
      </c>
      <c r="BI883">
        <v>4</v>
      </c>
      <c r="BJ883" t="s">
        <v>12003</v>
      </c>
      <c r="BK883" t="s">
        <v>7004</v>
      </c>
      <c r="BL883" t="s">
        <v>12003</v>
      </c>
      <c r="BM883" t="s">
        <v>12004</v>
      </c>
      <c r="BN883" t="s">
        <v>74</v>
      </c>
      <c r="BO883" t="s">
        <v>665</v>
      </c>
      <c r="BP883" t="s">
        <v>74</v>
      </c>
      <c r="BQ883" t="s">
        <v>74</v>
      </c>
      <c r="BR883" t="s">
        <v>107</v>
      </c>
      <c r="BS883" t="s">
        <v>12024</v>
      </c>
      <c r="BT883" t="str">
        <f>HYPERLINK("https%3A%2F%2Fwww.webofscience.com%2Fwos%2Fwoscc%2Ffull-record%2FWOS:000180513800021","View Full Record in Web of Science")</f>
        <v>View Full Record in Web of Science</v>
      </c>
    </row>
    <row r="884" spans="1:72" x14ac:dyDescent="0.15">
      <c r="A884" t="s">
        <v>72</v>
      </c>
      <c r="B884" t="s">
        <v>12025</v>
      </c>
      <c r="C884" t="s">
        <v>74</v>
      </c>
      <c r="D884" t="s">
        <v>74</v>
      </c>
      <c r="E884" t="s">
        <v>74</v>
      </c>
      <c r="F884" t="s">
        <v>12025</v>
      </c>
      <c r="G884" t="s">
        <v>74</v>
      </c>
      <c r="H884" t="s">
        <v>74</v>
      </c>
      <c r="I884" t="s">
        <v>12026</v>
      </c>
      <c r="J884" t="s">
        <v>12027</v>
      </c>
      <c r="K884" t="s">
        <v>74</v>
      </c>
      <c r="L884" t="s">
        <v>74</v>
      </c>
      <c r="M884" t="s">
        <v>77</v>
      </c>
      <c r="N884" t="s">
        <v>947</v>
      </c>
      <c r="O884" t="s">
        <v>74</v>
      </c>
      <c r="P884" t="s">
        <v>74</v>
      </c>
      <c r="Q884" t="s">
        <v>74</v>
      </c>
      <c r="R884" t="s">
        <v>74</v>
      </c>
      <c r="S884" t="s">
        <v>74</v>
      </c>
      <c r="T884" t="s">
        <v>12028</v>
      </c>
      <c r="U884" t="s">
        <v>12029</v>
      </c>
      <c r="V884" t="s">
        <v>12030</v>
      </c>
      <c r="W884" t="s">
        <v>4387</v>
      </c>
      <c r="X884" t="s">
        <v>616</v>
      </c>
      <c r="Y884" t="s">
        <v>12031</v>
      </c>
      <c r="Z884" t="s">
        <v>12032</v>
      </c>
      <c r="AA884" t="s">
        <v>74</v>
      </c>
      <c r="AB884" t="s">
        <v>74</v>
      </c>
      <c r="AC884" t="s">
        <v>74</v>
      </c>
      <c r="AD884" t="s">
        <v>74</v>
      </c>
      <c r="AE884" t="s">
        <v>74</v>
      </c>
      <c r="AF884" t="s">
        <v>74</v>
      </c>
      <c r="AG884">
        <v>213</v>
      </c>
      <c r="AH884">
        <v>329</v>
      </c>
      <c r="AI884">
        <v>356</v>
      </c>
      <c r="AJ884">
        <v>5</v>
      </c>
      <c r="AK884">
        <v>146</v>
      </c>
      <c r="AL884" t="s">
        <v>194</v>
      </c>
      <c r="AM884" t="s">
        <v>1251</v>
      </c>
      <c r="AN884" t="s">
        <v>1252</v>
      </c>
      <c r="AO884" t="s">
        <v>12033</v>
      </c>
      <c r="AP884" t="s">
        <v>74</v>
      </c>
      <c r="AQ884" t="s">
        <v>74</v>
      </c>
      <c r="AR884" t="s">
        <v>12034</v>
      </c>
      <c r="AS884" t="s">
        <v>12035</v>
      </c>
      <c r="AT884" t="s">
        <v>74</v>
      </c>
      <c r="AU884">
        <v>2002</v>
      </c>
      <c r="AV884">
        <v>23</v>
      </c>
      <c r="AW884">
        <v>5</v>
      </c>
      <c r="AX884" t="s">
        <v>74</v>
      </c>
      <c r="AY884" t="s">
        <v>74</v>
      </c>
      <c r="AZ884" t="s">
        <v>74</v>
      </c>
      <c r="BA884" t="s">
        <v>74</v>
      </c>
      <c r="BB884">
        <v>411</v>
      </c>
      <c r="BC884">
        <v>467</v>
      </c>
      <c r="BD884" t="s">
        <v>12036</v>
      </c>
      <c r="BE884" t="s">
        <v>12037</v>
      </c>
      <c r="BF884" t="str">
        <f>HYPERLINK("http://dx.doi.org/10.1023/A:1020139302770","http://dx.doi.org/10.1023/A:1020139302770")</f>
        <v>http://dx.doi.org/10.1023/A:1020139302770</v>
      </c>
      <c r="BG884" t="s">
        <v>74</v>
      </c>
      <c r="BH884" t="s">
        <v>74</v>
      </c>
      <c r="BI884">
        <v>57</v>
      </c>
      <c r="BJ884" t="s">
        <v>556</v>
      </c>
      <c r="BK884" t="s">
        <v>170</v>
      </c>
      <c r="BL884" t="s">
        <v>556</v>
      </c>
      <c r="BM884" t="s">
        <v>12038</v>
      </c>
      <c r="BN884" t="s">
        <v>74</v>
      </c>
      <c r="BO884" t="s">
        <v>74</v>
      </c>
      <c r="BP884" t="s">
        <v>74</v>
      </c>
      <c r="BQ884" t="s">
        <v>74</v>
      </c>
      <c r="BR884" t="s">
        <v>107</v>
      </c>
      <c r="BS884" t="s">
        <v>12039</v>
      </c>
      <c r="BT884" t="str">
        <f>HYPERLINK("https%3A%2F%2Fwww.webofscience.com%2Fwos%2Fwoscc%2Ffull-record%2FWOS:000177724300002","View Full Record in Web of Science")</f>
        <v>View Full Record in Web of Science</v>
      </c>
    </row>
    <row r="885" spans="1:72" x14ac:dyDescent="0.15">
      <c r="A885" t="s">
        <v>72</v>
      </c>
      <c r="B885" t="s">
        <v>12040</v>
      </c>
      <c r="C885" t="s">
        <v>74</v>
      </c>
      <c r="D885" t="s">
        <v>74</v>
      </c>
      <c r="E885" t="s">
        <v>74</v>
      </c>
      <c r="F885" t="s">
        <v>12040</v>
      </c>
      <c r="G885" t="s">
        <v>74</v>
      </c>
      <c r="H885" t="s">
        <v>74</v>
      </c>
      <c r="I885" t="s">
        <v>12041</v>
      </c>
      <c r="J885" t="s">
        <v>5755</v>
      </c>
      <c r="K885" t="s">
        <v>74</v>
      </c>
      <c r="L885" t="s">
        <v>74</v>
      </c>
      <c r="M885" t="s">
        <v>77</v>
      </c>
      <c r="N885" t="s">
        <v>153</v>
      </c>
      <c r="O885" t="s">
        <v>74</v>
      </c>
      <c r="P885" t="s">
        <v>74</v>
      </c>
      <c r="Q885" t="s">
        <v>74</v>
      </c>
      <c r="R885" t="s">
        <v>74</v>
      </c>
      <c r="S885" t="s">
        <v>74</v>
      </c>
      <c r="T885" t="s">
        <v>74</v>
      </c>
      <c r="U885" t="s">
        <v>12042</v>
      </c>
      <c r="V885" t="s">
        <v>12043</v>
      </c>
      <c r="W885" t="s">
        <v>12044</v>
      </c>
      <c r="X885" t="s">
        <v>12045</v>
      </c>
      <c r="Y885" t="s">
        <v>12046</v>
      </c>
      <c r="Z885" t="s">
        <v>74</v>
      </c>
      <c r="AA885" t="s">
        <v>12047</v>
      </c>
      <c r="AB885" t="s">
        <v>12048</v>
      </c>
      <c r="AC885" t="s">
        <v>74</v>
      </c>
      <c r="AD885" t="s">
        <v>74</v>
      </c>
      <c r="AE885" t="s">
        <v>74</v>
      </c>
      <c r="AF885" t="s">
        <v>74</v>
      </c>
      <c r="AG885">
        <v>14</v>
      </c>
      <c r="AH885">
        <v>10</v>
      </c>
      <c r="AI885">
        <v>12</v>
      </c>
      <c r="AJ885">
        <v>0</v>
      </c>
      <c r="AK885">
        <v>1</v>
      </c>
      <c r="AL885" t="s">
        <v>4505</v>
      </c>
      <c r="AM885" t="s">
        <v>4506</v>
      </c>
      <c r="AN885" t="s">
        <v>4507</v>
      </c>
      <c r="AO885" t="s">
        <v>12049</v>
      </c>
      <c r="AP885" t="s">
        <v>74</v>
      </c>
      <c r="AQ885" t="s">
        <v>74</v>
      </c>
      <c r="AR885" t="s">
        <v>5764</v>
      </c>
      <c r="AS885" t="s">
        <v>5765</v>
      </c>
      <c r="AT885" t="s">
        <v>7127</v>
      </c>
      <c r="AU885">
        <v>2002</v>
      </c>
      <c r="AV885">
        <v>54</v>
      </c>
      <c r="AW885">
        <v>1</v>
      </c>
      <c r="AX885" t="s">
        <v>74</v>
      </c>
      <c r="AY885" t="s">
        <v>74</v>
      </c>
      <c r="AZ885" t="s">
        <v>74</v>
      </c>
      <c r="BA885" t="s">
        <v>74</v>
      </c>
      <c r="BB885">
        <v>99</v>
      </c>
      <c r="BC885">
        <v>106</v>
      </c>
      <c r="BD885" t="s">
        <v>74</v>
      </c>
      <c r="BE885" t="s">
        <v>12050</v>
      </c>
      <c r="BF885" t="str">
        <f>HYPERLINK("http://dx.doi.org/10.1034/j.1600-0870.2002.00020.x","http://dx.doi.org/10.1034/j.1600-0870.2002.00020.x")</f>
        <v>http://dx.doi.org/10.1034/j.1600-0870.2002.00020.x</v>
      </c>
      <c r="BG885" t="s">
        <v>74</v>
      </c>
      <c r="BH885" t="s">
        <v>74</v>
      </c>
      <c r="BI885">
        <v>8</v>
      </c>
      <c r="BJ885" t="s">
        <v>5144</v>
      </c>
      <c r="BK885" t="s">
        <v>170</v>
      </c>
      <c r="BL885" t="s">
        <v>5144</v>
      </c>
      <c r="BM885" t="s">
        <v>12051</v>
      </c>
      <c r="BN885" t="s">
        <v>74</v>
      </c>
      <c r="BO885" t="s">
        <v>461</v>
      </c>
      <c r="BP885" t="s">
        <v>74</v>
      </c>
      <c r="BQ885" t="s">
        <v>74</v>
      </c>
      <c r="BR885" t="s">
        <v>107</v>
      </c>
      <c r="BS885" t="s">
        <v>12052</v>
      </c>
      <c r="BT885" t="str">
        <f>HYPERLINK("https%3A%2F%2Fwww.webofscience.com%2Fwos%2Fwoscc%2Ffull-record%2FWOS:000173910100009","View Full Record in Web of Science")</f>
        <v>View Full Record in Web of Science</v>
      </c>
    </row>
    <row r="886" spans="1:72" x14ac:dyDescent="0.15">
      <c r="A886" t="s">
        <v>72</v>
      </c>
      <c r="B886" t="s">
        <v>12053</v>
      </c>
      <c r="C886" t="s">
        <v>74</v>
      </c>
      <c r="D886" t="s">
        <v>74</v>
      </c>
      <c r="E886" t="s">
        <v>74</v>
      </c>
      <c r="F886" t="s">
        <v>12053</v>
      </c>
      <c r="G886" t="s">
        <v>74</v>
      </c>
      <c r="H886" t="s">
        <v>74</v>
      </c>
      <c r="I886" t="s">
        <v>12054</v>
      </c>
      <c r="J886" t="s">
        <v>12055</v>
      </c>
      <c r="K886" t="s">
        <v>74</v>
      </c>
      <c r="L886" t="s">
        <v>74</v>
      </c>
      <c r="M886" t="s">
        <v>77</v>
      </c>
      <c r="N886" t="s">
        <v>947</v>
      </c>
      <c r="O886" t="s">
        <v>74</v>
      </c>
      <c r="P886" t="s">
        <v>74</v>
      </c>
      <c r="Q886" t="s">
        <v>74</v>
      </c>
      <c r="R886" t="s">
        <v>74</v>
      </c>
      <c r="S886" t="s">
        <v>74</v>
      </c>
      <c r="T886" t="s">
        <v>74</v>
      </c>
      <c r="U886" t="s">
        <v>12056</v>
      </c>
      <c r="V886" t="s">
        <v>12057</v>
      </c>
      <c r="W886" t="s">
        <v>12058</v>
      </c>
      <c r="X886" t="s">
        <v>12059</v>
      </c>
      <c r="Y886" t="s">
        <v>12060</v>
      </c>
      <c r="Z886" t="s">
        <v>12061</v>
      </c>
      <c r="AA886" t="s">
        <v>12062</v>
      </c>
      <c r="AB886" t="s">
        <v>12063</v>
      </c>
      <c r="AC886" t="s">
        <v>74</v>
      </c>
      <c r="AD886" t="s">
        <v>74</v>
      </c>
      <c r="AE886" t="s">
        <v>74</v>
      </c>
      <c r="AF886" t="s">
        <v>74</v>
      </c>
      <c r="AG886">
        <v>61</v>
      </c>
      <c r="AH886">
        <v>224</v>
      </c>
      <c r="AI886">
        <v>252</v>
      </c>
      <c r="AJ886">
        <v>1</v>
      </c>
      <c r="AK886">
        <v>68</v>
      </c>
      <c r="AL886" t="s">
        <v>894</v>
      </c>
      <c r="AM886" t="s">
        <v>895</v>
      </c>
      <c r="AN886" t="s">
        <v>896</v>
      </c>
      <c r="AO886" t="s">
        <v>12064</v>
      </c>
      <c r="AP886" t="s">
        <v>12065</v>
      </c>
      <c r="AQ886" t="s">
        <v>74</v>
      </c>
      <c r="AR886" t="s">
        <v>12066</v>
      </c>
      <c r="AS886" t="s">
        <v>12067</v>
      </c>
      <c r="AT886" t="s">
        <v>7127</v>
      </c>
      <c r="AU886">
        <v>2002</v>
      </c>
      <c r="AV886">
        <v>10</v>
      </c>
      <c r="AW886">
        <v>1</v>
      </c>
      <c r="AX886" t="s">
        <v>74</v>
      </c>
      <c r="AY886" t="s">
        <v>74</v>
      </c>
      <c r="AZ886" t="s">
        <v>74</v>
      </c>
      <c r="BA886" t="s">
        <v>74</v>
      </c>
      <c r="BB886">
        <v>31</v>
      </c>
      <c r="BC886">
        <v>38</v>
      </c>
      <c r="BD886" t="s">
        <v>74</v>
      </c>
      <c r="BE886" t="s">
        <v>12068</v>
      </c>
      <c r="BF886" t="str">
        <f>HYPERLINK("http://dx.doi.org/10.1016/S0966-842X(01)02257-0","http://dx.doi.org/10.1016/S0966-842X(01)02257-0")</f>
        <v>http://dx.doi.org/10.1016/S0966-842X(01)02257-0</v>
      </c>
      <c r="BG886" t="s">
        <v>74</v>
      </c>
      <c r="BH886" t="s">
        <v>74</v>
      </c>
      <c r="BI886">
        <v>8</v>
      </c>
      <c r="BJ886" t="s">
        <v>6519</v>
      </c>
      <c r="BK886" t="s">
        <v>170</v>
      </c>
      <c r="BL886" t="s">
        <v>6519</v>
      </c>
      <c r="BM886" t="s">
        <v>12069</v>
      </c>
      <c r="BN886">
        <v>11755083</v>
      </c>
      <c r="BO886" t="s">
        <v>74</v>
      </c>
      <c r="BP886" t="s">
        <v>74</v>
      </c>
      <c r="BQ886" t="s">
        <v>74</v>
      </c>
      <c r="BR886" t="s">
        <v>107</v>
      </c>
      <c r="BS886" t="s">
        <v>12070</v>
      </c>
      <c r="BT886" t="str">
        <f>HYPERLINK("https%3A%2F%2Fwww.webofscience.com%2Fwos%2Fwoscc%2Ffull-record%2FWOS:000173297400012","View Full Record in Web of Science")</f>
        <v>View Full Record in Web of Science</v>
      </c>
    </row>
    <row r="887" spans="1:72" x14ac:dyDescent="0.15">
      <c r="A887" t="s">
        <v>6989</v>
      </c>
      <c r="B887" t="s">
        <v>12071</v>
      </c>
      <c r="C887" t="s">
        <v>74</v>
      </c>
      <c r="D887" t="s">
        <v>12072</v>
      </c>
      <c r="E887" t="s">
        <v>74</v>
      </c>
      <c r="F887" t="s">
        <v>12071</v>
      </c>
      <c r="G887" t="s">
        <v>74</v>
      </c>
      <c r="H887" t="s">
        <v>74</v>
      </c>
      <c r="I887" t="s">
        <v>12073</v>
      </c>
      <c r="J887" t="s">
        <v>12074</v>
      </c>
      <c r="K887" t="s">
        <v>9001</v>
      </c>
      <c r="L887" t="s">
        <v>74</v>
      </c>
      <c r="M887" t="s">
        <v>77</v>
      </c>
      <c r="N887" t="s">
        <v>6994</v>
      </c>
      <c r="O887" t="s">
        <v>12075</v>
      </c>
      <c r="P887" t="s">
        <v>12076</v>
      </c>
      <c r="Q887" t="s">
        <v>12077</v>
      </c>
      <c r="R887" t="s">
        <v>74</v>
      </c>
      <c r="S887" t="s">
        <v>74</v>
      </c>
      <c r="T887" t="s">
        <v>74</v>
      </c>
      <c r="U887" t="s">
        <v>12078</v>
      </c>
      <c r="V887" t="s">
        <v>12079</v>
      </c>
      <c r="W887" t="s">
        <v>12080</v>
      </c>
      <c r="X887" t="s">
        <v>12081</v>
      </c>
      <c r="Y887" t="s">
        <v>12082</v>
      </c>
      <c r="Z887" t="s">
        <v>74</v>
      </c>
      <c r="AA887" t="s">
        <v>74</v>
      </c>
      <c r="AB887" t="s">
        <v>74</v>
      </c>
      <c r="AC887" t="s">
        <v>74</v>
      </c>
      <c r="AD887" t="s">
        <v>74</v>
      </c>
      <c r="AE887" t="s">
        <v>74</v>
      </c>
      <c r="AF887" t="s">
        <v>74</v>
      </c>
      <c r="AG887">
        <v>16</v>
      </c>
      <c r="AH887">
        <v>0</v>
      </c>
      <c r="AI887">
        <v>0</v>
      </c>
      <c r="AJ887">
        <v>0</v>
      </c>
      <c r="AK887">
        <v>1</v>
      </c>
      <c r="AL887" t="s">
        <v>9010</v>
      </c>
      <c r="AM887" t="s">
        <v>9011</v>
      </c>
      <c r="AN887" t="s">
        <v>9012</v>
      </c>
      <c r="AO887" t="s">
        <v>9013</v>
      </c>
      <c r="AP887" t="s">
        <v>74</v>
      </c>
      <c r="AQ887" t="s">
        <v>12083</v>
      </c>
      <c r="AR887" t="s">
        <v>9015</v>
      </c>
      <c r="AS887" t="s">
        <v>74</v>
      </c>
      <c r="AT887" t="s">
        <v>74</v>
      </c>
      <c r="AU887">
        <v>2002</v>
      </c>
      <c r="AV887">
        <v>4482</v>
      </c>
      <c r="AW887" t="s">
        <v>74</v>
      </c>
      <c r="AX887" t="s">
        <v>74</v>
      </c>
      <c r="AY887" t="s">
        <v>74</v>
      </c>
      <c r="AZ887" t="s">
        <v>74</v>
      </c>
      <c r="BA887" t="s">
        <v>74</v>
      </c>
      <c r="BB887">
        <v>1</v>
      </c>
      <c r="BC887">
        <v>14</v>
      </c>
      <c r="BD887" t="s">
        <v>12084</v>
      </c>
      <c r="BE887" t="s">
        <v>12085</v>
      </c>
      <c r="BF887" t="str">
        <f>HYPERLINK("http://dx.doi.org/10.1117/12.452907","http://dx.doi.org/10.1117/12.452907")</f>
        <v>http://dx.doi.org/10.1117/12.452907</v>
      </c>
      <c r="BG887" t="s">
        <v>74</v>
      </c>
      <c r="BH887" t="s">
        <v>74</v>
      </c>
      <c r="BI887">
        <v>14</v>
      </c>
      <c r="BJ887" t="s">
        <v>12086</v>
      </c>
      <c r="BK887" t="s">
        <v>7004</v>
      </c>
      <c r="BL887" t="s">
        <v>12087</v>
      </c>
      <c r="BM887" t="s">
        <v>12088</v>
      </c>
      <c r="BN887" t="s">
        <v>74</v>
      </c>
      <c r="BO887" t="s">
        <v>74</v>
      </c>
      <c r="BP887" t="s">
        <v>74</v>
      </c>
      <c r="BQ887" t="s">
        <v>74</v>
      </c>
      <c r="BR887" t="s">
        <v>107</v>
      </c>
      <c r="BS887" t="s">
        <v>12089</v>
      </c>
      <c r="BT887" t="str">
        <f>HYPERLINK("https%3A%2F%2Fwww.webofscience.com%2Fwos%2Fwoscc%2Ffull-record%2FWOS:000175162200001","View Full Record in Web of Science")</f>
        <v>View Full Record in Web of Science</v>
      </c>
    </row>
    <row r="888" spans="1:72" x14ac:dyDescent="0.15">
      <c r="A888" t="s">
        <v>6989</v>
      </c>
      <c r="B888" t="s">
        <v>12090</v>
      </c>
      <c r="C888" t="s">
        <v>74</v>
      </c>
      <c r="D888" t="s">
        <v>12072</v>
      </c>
      <c r="E888" t="s">
        <v>74</v>
      </c>
      <c r="F888" t="s">
        <v>12090</v>
      </c>
      <c r="G888" t="s">
        <v>74</v>
      </c>
      <c r="H888" t="s">
        <v>74</v>
      </c>
      <c r="I888" t="s">
        <v>12091</v>
      </c>
      <c r="J888" t="s">
        <v>12074</v>
      </c>
      <c r="K888" t="s">
        <v>9001</v>
      </c>
      <c r="L888" t="s">
        <v>74</v>
      </c>
      <c r="M888" t="s">
        <v>77</v>
      </c>
      <c r="N888" t="s">
        <v>6994</v>
      </c>
      <c r="O888" t="s">
        <v>12075</v>
      </c>
      <c r="P888" t="s">
        <v>12076</v>
      </c>
      <c r="Q888" t="s">
        <v>12077</v>
      </c>
      <c r="R888" t="s">
        <v>74</v>
      </c>
      <c r="S888" t="s">
        <v>74</v>
      </c>
      <c r="T888" t="s">
        <v>12092</v>
      </c>
      <c r="U888" t="s">
        <v>12093</v>
      </c>
      <c r="V888" t="s">
        <v>12094</v>
      </c>
      <c r="W888" t="s">
        <v>12095</v>
      </c>
      <c r="X888" t="s">
        <v>74</v>
      </c>
      <c r="Y888" t="s">
        <v>12096</v>
      </c>
      <c r="Z888" t="s">
        <v>74</v>
      </c>
      <c r="AA888" t="s">
        <v>74</v>
      </c>
      <c r="AB888" t="s">
        <v>74</v>
      </c>
      <c r="AC888" t="s">
        <v>74</v>
      </c>
      <c r="AD888" t="s">
        <v>74</v>
      </c>
      <c r="AE888" t="s">
        <v>74</v>
      </c>
      <c r="AF888" t="s">
        <v>74</v>
      </c>
      <c r="AG888">
        <v>13</v>
      </c>
      <c r="AH888">
        <v>8</v>
      </c>
      <c r="AI888">
        <v>8</v>
      </c>
      <c r="AJ888">
        <v>0</v>
      </c>
      <c r="AK888">
        <v>3</v>
      </c>
      <c r="AL888" t="s">
        <v>9010</v>
      </c>
      <c r="AM888" t="s">
        <v>9011</v>
      </c>
      <c r="AN888" t="s">
        <v>9012</v>
      </c>
      <c r="AO888" t="s">
        <v>9013</v>
      </c>
      <c r="AP888" t="s">
        <v>74</v>
      </c>
      <c r="AQ888" t="s">
        <v>12083</v>
      </c>
      <c r="AR888" t="s">
        <v>9015</v>
      </c>
      <c r="AS888" t="s">
        <v>74</v>
      </c>
      <c r="AT888" t="s">
        <v>74</v>
      </c>
      <c r="AU888">
        <v>2002</v>
      </c>
      <c r="AV888">
        <v>4482</v>
      </c>
      <c r="AW888" t="s">
        <v>74</v>
      </c>
      <c r="AX888" t="s">
        <v>74</v>
      </c>
      <c r="AY888" t="s">
        <v>74</v>
      </c>
      <c r="AZ888" t="s">
        <v>74</v>
      </c>
      <c r="BA888" t="s">
        <v>74</v>
      </c>
      <c r="BB888">
        <v>115</v>
      </c>
      <c r="BC888">
        <v>126</v>
      </c>
      <c r="BD888" t="s">
        <v>12097</v>
      </c>
      <c r="BE888" t="s">
        <v>12098</v>
      </c>
      <c r="BF888" t="str">
        <f>HYPERLINK("http://dx.doi.org/10.1117/12.452910","http://dx.doi.org/10.1117/12.452910")</f>
        <v>http://dx.doi.org/10.1117/12.452910</v>
      </c>
      <c r="BG888" t="s">
        <v>74</v>
      </c>
      <c r="BH888" t="s">
        <v>74</v>
      </c>
      <c r="BI888">
        <v>12</v>
      </c>
      <c r="BJ888" t="s">
        <v>12086</v>
      </c>
      <c r="BK888" t="s">
        <v>7004</v>
      </c>
      <c r="BL888" t="s">
        <v>12087</v>
      </c>
      <c r="BM888" t="s">
        <v>12088</v>
      </c>
      <c r="BN888" t="s">
        <v>74</v>
      </c>
      <c r="BO888" t="s">
        <v>74</v>
      </c>
      <c r="BP888" t="s">
        <v>74</v>
      </c>
      <c r="BQ888" t="s">
        <v>74</v>
      </c>
      <c r="BR888" t="s">
        <v>107</v>
      </c>
      <c r="BS888" t="s">
        <v>12099</v>
      </c>
      <c r="BT888" t="str">
        <f>HYPERLINK("https%3A%2F%2Fwww.webofscience.com%2Fwos%2Fwoscc%2Ffull-record%2FWOS:000175162200011","View Full Record in Web of Science")</f>
        <v>View Full Record in Web of Science</v>
      </c>
    </row>
    <row r="889" spans="1:72" x14ac:dyDescent="0.15">
      <c r="A889" t="s">
        <v>6989</v>
      </c>
      <c r="B889" t="s">
        <v>12100</v>
      </c>
      <c r="C889" t="s">
        <v>74</v>
      </c>
      <c r="D889" t="s">
        <v>12072</v>
      </c>
      <c r="E889" t="s">
        <v>74</v>
      </c>
      <c r="F889" t="s">
        <v>12100</v>
      </c>
      <c r="G889" t="s">
        <v>74</v>
      </c>
      <c r="H889" t="s">
        <v>74</v>
      </c>
      <c r="I889" t="s">
        <v>12101</v>
      </c>
      <c r="J889" t="s">
        <v>12074</v>
      </c>
      <c r="K889" t="s">
        <v>9001</v>
      </c>
      <c r="L889" t="s">
        <v>74</v>
      </c>
      <c r="M889" t="s">
        <v>77</v>
      </c>
      <c r="N889" t="s">
        <v>6994</v>
      </c>
      <c r="O889" t="s">
        <v>12075</v>
      </c>
      <c r="P889" t="s">
        <v>12076</v>
      </c>
      <c r="Q889" t="s">
        <v>12077</v>
      </c>
      <c r="R889" t="s">
        <v>74</v>
      </c>
      <c r="S889" t="s">
        <v>74</v>
      </c>
      <c r="T889" t="s">
        <v>12102</v>
      </c>
      <c r="U889" t="s">
        <v>12103</v>
      </c>
      <c r="V889" t="s">
        <v>12104</v>
      </c>
      <c r="W889" t="s">
        <v>12105</v>
      </c>
      <c r="X889" t="s">
        <v>12106</v>
      </c>
      <c r="Y889" t="s">
        <v>12107</v>
      </c>
      <c r="Z889" t="s">
        <v>74</v>
      </c>
      <c r="AA889" t="s">
        <v>74</v>
      </c>
      <c r="AB889" t="s">
        <v>74</v>
      </c>
      <c r="AC889" t="s">
        <v>74</v>
      </c>
      <c r="AD889" t="s">
        <v>74</v>
      </c>
      <c r="AE889" t="s">
        <v>74</v>
      </c>
      <c r="AF889" t="s">
        <v>74</v>
      </c>
      <c r="AG889">
        <v>16</v>
      </c>
      <c r="AH889">
        <v>0</v>
      </c>
      <c r="AI889">
        <v>0</v>
      </c>
      <c r="AJ889">
        <v>0</v>
      </c>
      <c r="AK889">
        <v>1</v>
      </c>
      <c r="AL889" t="s">
        <v>9010</v>
      </c>
      <c r="AM889" t="s">
        <v>9011</v>
      </c>
      <c r="AN889" t="s">
        <v>9012</v>
      </c>
      <c r="AO889" t="s">
        <v>9013</v>
      </c>
      <c r="AP889" t="s">
        <v>74</v>
      </c>
      <c r="AQ889" t="s">
        <v>12083</v>
      </c>
      <c r="AR889" t="s">
        <v>9015</v>
      </c>
      <c r="AS889" t="s">
        <v>74</v>
      </c>
      <c r="AT889" t="s">
        <v>74</v>
      </c>
      <c r="AU889">
        <v>2002</v>
      </c>
      <c r="AV889">
        <v>4482</v>
      </c>
      <c r="AW889" t="s">
        <v>74</v>
      </c>
      <c r="AX889" t="s">
        <v>74</v>
      </c>
      <c r="AY889" t="s">
        <v>74</v>
      </c>
      <c r="AZ889" t="s">
        <v>74</v>
      </c>
      <c r="BA889" t="s">
        <v>74</v>
      </c>
      <c r="BB889">
        <v>203</v>
      </c>
      <c r="BC889">
        <v>211</v>
      </c>
      <c r="BD889" t="s">
        <v>12108</v>
      </c>
      <c r="BE889" t="s">
        <v>12109</v>
      </c>
      <c r="BF889" t="str">
        <f>HYPERLINK("http://dx.doi.org/10.1117/12.452920","http://dx.doi.org/10.1117/12.452920")</f>
        <v>http://dx.doi.org/10.1117/12.452920</v>
      </c>
      <c r="BG889" t="s">
        <v>74</v>
      </c>
      <c r="BH889" t="s">
        <v>74</v>
      </c>
      <c r="BI889">
        <v>9</v>
      </c>
      <c r="BJ889" t="s">
        <v>12086</v>
      </c>
      <c r="BK889" t="s">
        <v>7004</v>
      </c>
      <c r="BL889" t="s">
        <v>12087</v>
      </c>
      <c r="BM889" t="s">
        <v>12088</v>
      </c>
      <c r="BN889" t="s">
        <v>74</v>
      </c>
      <c r="BO889" t="s">
        <v>74</v>
      </c>
      <c r="BP889" t="s">
        <v>74</v>
      </c>
      <c r="BQ889" t="s">
        <v>74</v>
      </c>
      <c r="BR889" t="s">
        <v>107</v>
      </c>
      <c r="BS889" t="s">
        <v>12110</v>
      </c>
      <c r="BT889" t="str">
        <f>HYPERLINK("https%3A%2F%2Fwww.webofscience.com%2Fwos%2Fwoscc%2Ffull-record%2FWOS:000175162200020","View Full Record in Web of Science")</f>
        <v>View Full Record in Web of Science</v>
      </c>
    </row>
    <row r="890" spans="1:72" x14ac:dyDescent="0.15">
      <c r="A890" t="s">
        <v>72</v>
      </c>
      <c r="B890" t="s">
        <v>12111</v>
      </c>
      <c r="C890" t="s">
        <v>74</v>
      </c>
      <c r="D890" t="s">
        <v>74</v>
      </c>
      <c r="E890" t="s">
        <v>74</v>
      </c>
      <c r="F890" t="s">
        <v>12112</v>
      </c>
      <c r="G890" t="s">
        <v>74</v>
      </c>
      <c r="H890" t="s">
        <v>74</v>
      </c>
      <c r="I890" t="s">
        <v>12113</v>
      </c>
      <c r="J890" t="s">
        <v>12114</v>
      </c>
      <c r="K890" t="s">
        <v>74</v>
      </c>
      <c r="L890" t="s">
        <v>74</v>
      </c>
      <c r="M890" t="s">
        <v>77</v>
      </c>
      <c r="N890" t="s">
        <v>153</v>
      </c>
      <c r="O890" t="s">
        <v>74</v>
      </c>
      <c r="P890" t="s">
        <v>74</v>
      </c>
      <c r="Q890" t="s">
        <v>74</v>
      </c>
      <c r="R890" t="s">
        <v>74</v>
      </c>
      <c r="S890" t="s">
        <v>74</v>
      </c>
      <c r="T890" t="s">
        <v>74</v>
      </c>
      <c r="U890" t="s">
        <v>12115</v>
      </c>
      <c r="V890" t="s">
        <v>74</v>
      </c>
      <c r="W890" t="s">
        <v>12116</v>
      </c>
      <c r="X890" t="s">
        <v>12117</v>
      </c>
      <c r="Y890" t="s">
        <v>12118</v>
      </c>
      <c r="Z890" t="s">
        <v>12119</v>
      </c>
      <c r="AA890" t="s">
        <v>74</v>
      </c>
      <c r="AB890" t="s">
        <v>74</v>
      </c>
      <c r="AC890" t="s">
        <v>74</v>
      </c>
      <c r="AD890" t="s">
        <v>74</v>
      </c>
      <c r="AE890" t="s">
        <v>74</v>
      </c>
      <c r="AF890" t="s">
        <v>74</v>
      </c>
      <c r="AG890">
        <v>267</v>
      </c>
      <c r="AH890">
        <v>0</v>
      </c>
      <c r="AI890">
        <v>0</v>
      </c>
      <c r="AJ890">
        <v>0</v>
      </c>
      <c r="AK890">
        <v>6</v>
      </c>
      <c r="AL890" t="s">
        <v>394</v>
      </c>
      <c r="AM890" t="s">
        <v>395</v>
      </c>
      <c r="AN890" t="s">
        <v>396</v>
      </c>
      <c r="AO890" t="s">
        <v>12120</v>
      </c>
      <c r="AP890" t="s">
        <v>12121</v>
      </c>
      <c r="AQ890" t="s">
        <v>74</v>
      </c>
      <c r="AR890" t="s">
        <v>12122</v>
      </c>
      <c r="AS890" t="s">
        <v>12123</v>
      </c>
      <c r="AT890" t="s">
        <v>74</v>
      </c>
      <c r="AU890">
        <v>2002</v>
      </c>
      <c r="AV890">
        <v>74</v>
      </c>
      <c r="AW890">
        <v>5</v>
      </c>
      <c r="AX890" t="s">
        <v>74</v>
      </c>
      <c r="AY890" t="s">
        <v>74</v>
      </c>
      <c r="AZ890" t="s">
        <v>74</v>
      </c>
      <c r="BA890" t="s">
        <v>74</v>
      </c>
      <c r="BB890">
        <v>1448</v>
      </c>
      <c r="BC890">
        <v>1495</v>
      </c>
      <c r="BD890" t="s">
        <v>74</v>
      </c>
      <c r="BE890" t="s">
        <v>12124</v>
      </c>
      <c r="BF890" t="str">
        <f>HYPERLINK("http://dx.doi.org/10.2175/106143002X140729","http://dx.doi.org/10.2175/106143002X140729")</f>
        <v>http://dx.doi.org/10.2175/106143002X140729</v>
      </c>
      <c r="BG890" t="s">
        <v>74</v>
      </c>
      <c r="BH890" t="s">
        <v>74</v>
      </c>
      <c r="BI890">
        <v>48</v>
      </c>
      <c r="BJ890" t="s">
        <v>12125</v>
      </c>
      <c r="BK890" t="s">
        <v>170</v>
      </c>
      <c r="BL890" t="s">
        <v>12126</v>
      </c>
      <c r="BM890" t="s">
        <v>12127</v>
      </c>
      <c r="BN890" t="s">
        <v>74</v>
      </c>
      <c r="BO890" t="s">
        <v>173</v>
      </c>
      <c r="BP890" t="s">
        <v>74</v>
      </c>
      <c r="BQ890" t="s">
        <v>74</v>
      </c>
      <c r="BR890" t="s">
        <v>107</v>
      </c>
      <c r="BS890" t="s">
        <v>12128</v>
      </c>
      <c r="BT890" t="str">
        <f>HYPERLINK("https%3A%2F%2Fwww.webofscience.com%2Fwos%2Fwoscc%2Ffull-record%2FWOS:000208064900028","View Full Record in Web of Science")</f>
        <v>View Full Record in Web of Science</v>
      </c>
    </row>
    <row r="891" spans="1:72" x14ac:dyDescent="0.15">
      <c r="A891" t="s">
        <v>72</v>
      </c>
      <c r="B891" t="s">
        <v>12129</v>
      </c>
      <c r="C891" t="s">
        <v>74</v>
      </c>
      <c r="D891" t="s">
        <v>74</v>
      </c>
      <c r="E891" t="s">
        <v>74</v>
      </c>
      <c r="F891" t="s">
        <v>12129</v>
      </c>
      <c r="G891" t="s">
        <v>74</v>
      </c>
      <c r="H891" t="s">
        <v>74</v>
      </c>
      <c r="I891" t="s">
        <v>12130</v>
      </c>
      <c r="J891" t="s">
        <v>12131</v>
      </c>
      <c r="K891" t="s">
        <v>74</v>
      </c>
      <c r="L891" t="s">
        <v>74</v>
      </c>
      <c r="M891" t="s">
        <v>77</v>
      </c>
      <c r="N891" t="s">
        <v>153</v>
      </c>
      <c r="O891" t="s">
        <v>74</v>
      </c>
      <c r="P891" t="s">
        <v>74</v>
      </c>
      <c r="Q891" t="s">
        <v>74</v>
      </c>
      <c r="R891" t="s">
        <v>74</v>
      </c>
      <c r="S891" t="s">
        <v>74</v>
      </c>
      <c r="T891" t="s">
        <v>12132</v>
      </c>
      <c r="U891" t="s">
        <v>12133</v>
      </c>
      <c r="V891" t="s">
        <v>12134</v>
      </c>
      <c r="W891" t="s">
        <v>12135</v>
      </c>
      <c r="X891" t="s">
        <v>12136</v>
      </c>
      <c r="Y891" t="s">
        <v>12137</v>
      </c>
      <c r="Z891" t="s">
        <v>12138</v>
      </c>
      <c r="AA891" t="s">
        <v>74</v>
      </c>
      <c r="AB891" t="s">
        <v>74</v>
      </c>
      <c r="AC891" t="s">
        <v>74</v>
      </c>
      <c r="AD891" t="s">
        <v>74</v>
      </c>
      <c r="AE891" t="s">
        <v>74</v>
      </c>
      <c r="AF891" t="s">
        <v>74</v>
      </c>
      <c r="AG891">
        <v>89</v>
      </c>
      <c r="AH891">
        <v>70</v>
      </c>
      <c r="AI891">
        <v>85</v>
      </c>
      <c r="AJ891">
        <v>0</v>
      </c>
      <c r="AK891">
        <v>96</v>
      </c>
      <c r="AL891" t="s">
        <v>394</v>
      </c>
      <c r="AM891" t="s">
        <v>395</v>
      </c>
      <c r="AN891" t="s">
        <v>396</v>
      </c>
      <c r="AO891" t="s">
        <v>12139</v>
      </c>
      <c r="AP891" t="s">
        <v>12140</v>
      </c>
      <c r="AQ891" t="s">
        <v>74</v>
      </c>
      <c r="AR891" t="s">
        <v>12141</v>
      </c>
      <c r="AS891" t="s">
        <v>12142</v>
      </c>
      <c r="AT891" t="s">
        <v>74</v>
      </c>
      <c r="AU891">
        <v>2002</v>
      </c>
      <c r="AV891">
        <v>21</v>
      </c>
      <c r="AW891">
        <v>1</v>
      </c>
      <c r="AX891" t="s">
        <v>74</v>
      </c>
      <c r="AY891" t="s">
        <v>74</v>
      </c>
      <c r="AZ891" t="s">
        <v>74</v>
      </c>
      <c r="BA891" t="s">
        <v>74</v>
      </c>
      <c r="BB891">
        <v>5</v>
      </c>
      <c r="BC891">
        <v>26</v>
      </c>
      <c r="BD891" t="s">
        <v>74</v>
      </c>
      <c r="BE891" t="s">
        <v>12143</v>
      </c>
      <c r="BF891" t="str">
        <f>HYPERLINK("http://dx.doi.org/10.1002/zoo.10004","http://dx.doi.org/10.1002/zoo.10004")</f>
        <v>http://dx.doi.org/10.1002/zoo.10004</v>
      </c>
      <c r="BG891" t="s">
        <v>74</v>
      </c>
      <c r="BH891" t="s">
        <v>74</v>
      </c>
      <c r="BI891">
        <v>22</v>
      </c>
      <c r="BJ891" t="s">
        <v>12144</v>
      </c>
      <c r="BK891" t="s">
        <v>5353</v>
      </c>
      <c r="BL891" t="s">
        <v>12144</v>
      </c>
      <c r="BM891" t="s">
        <v>12145</v>
      </c>
      <c r="BN891" t="s">
        <v>74</v>
      </c>
      <c r="BO891" t="s">
        <v>74</v>
      </c>
      <c r="BP891" t="s">
        <v>74</v>
      </c>
      <c r="BQ891" t="s">
        <v>74</v>
      </c>
      <c r="BR891" t="s">
        <v>107</v>
      </c>
      <c r="BS891" t="s">
        <v>12146</v>
      </c>
      <c r="BT891" t="str">
        <f>HYPERLINK("https%3A%2F%2Fwww.webofscience.com%2Fwos%2Fwoscc%2Ffull-record%2FWOS:000175102700002","View Full Record in Web of Science")</f>
        <v>View Full Record in Web of Science</v>
      </c>
    </row>
    <row r="892" spans="1:72" x14ac:dyDescent="0.15">
      <c r="A892" t="s">
        <v>72</v>
      </c>
      <c r="B892" t="s">
        <v>12147</v>
      </c>
      <c r="C892" t="s">
        <v>74</v>
      </c>
      <c r="D892" t="s">
        <v>74</v>
      </c>
      <c r="E892" t="s">
        <v>74</v>
      </c>
      <c r="F892" t="s">
        <v>12147</v>
      </c>
      <c r="G892" t="s">
        <v>74</v>
      </c>
      <c r="H892" t="s">
        <v>12148</v>
      </c>
      <c r="I892" t="s">
        <v>12149</v>
      </c>
      <c r="J892" t="s">
        <v>539</v>
      </c>
      <c r="K892" t="s">
        <v>74</v>
      </c>
      <c r="L892" t="s">
        <v>74</v>
      </c>
      <c r="M892" t="s">
        <v>77</v>
      </c>
      <c r="N892" t="s">
        <v>153</v>
      </c>
      <c r="O892" t="s">
        <v>74</v>
      </c>
      <c r="P892" t="s">
        <v>74</v>
      </c>
      <c r="Q892" t="s">
        <v>74</v>
      </c>
      <c r="R892" t="s">
        <v>74</v>
      </c>
      <c r="S892" t="s">
        <v>74</v>
      </c>
      <c r="T892" t="s">
        <v>12150</v>
      </c>
      <c r="U892" t="s">
        <v>12151</v>
      </c>
      <c r="V892" t="s">
        <v>12152</v>
      </c>
      <c r="W892" t="s">
        <v>12153</v>
      </c>
      <c r="X892" t="s">
        <v>12154</v>
      </c>
      <c r="Y892" t="s">
        <v>12155</v>
      </c>
      <c r="Z892" t="s">
        <v>74</v>
      </c>
      <c r="AA892" t="s">
        <v>12156</v>
      </c>
      <c r="AB892" t="s">
        <v>74</v>
      </c>
      <c r="AC892" t="s">
        <v>74</v>
      </c>
      <c r="AD892" t="s">
        <v>74</v>
      </c>
      <c r="AE892" t="s">
        <v>74</v>
      </c>
      <c r="AF892" t="s">
        <v>74</v>
      </c>
      <c r="AG892">
        <v>25</v>
      </c>
      <c r="AH892">
        <v>150</v>
      </c>
      <c r="AI892">
        <v>172</v>
      </c>
      <c r="AJ892">
        <v>0</v>
      </c>
      <c r="AK892">
        <v>48</v>
      </c>
      <c r="AL892" t="s">
        <v>132</v>
      </c>
      <c r="AM892" t="s">
        <v>91</v>
      </c>
      <c r="AN892" t="s">
        <v>133</v>
      </c>
      <c r="AO892" t="s">
        <v>549</v>
      </c>
      <c r="AP892" t="s">
        <v>74</v>
      </c>
      <c r="AQ892" t="s">
        <v>74</v>
      </c>
      <c r="AR892" t="s">
        <v>551</v>
      </c>
      <c r="AS892" t="s">
        <v>552</v>
      </c>
      <c r="AT892" t="s">
        <v>12157</v>
      </c>
      <c r="AU892">
        <v>2001</v>
      </c>
      <c r="AV892">
        <v>194</v>
      </c>
      <c r="AW892" t="s">
        <v>98</v>
      </c>
      <c r="AX892" t="s">
        <v>74</v>
      </c>
      <c r="AY892" t="s">
        <v>74</v>
      </c>
      <c r="AZ892" t="s">
        <v>74</v>
      </c>
      <c r="BA892" t="s">
        <v>74</v>
      </c>
      <c r="BB892">
        <v>31</v>
      </c>
      <c r="BC892">
        <v>37</v>
      </c>
      <c r="BD892" t="s">
        <v>74</v>
      </c>
      <c r="BE892" t="s">
        <v>12158</v>
      </c>
      <c r="BF892" t="str">
        <f>HYPERLINK("http://dx.doi.org/10.1016/S0012-821X(01)00537-4","http://dx.doi.org/10.1016/S0012-821X(01)00537-4")</f>
        <v>http://dx.doi.org/10.1016/S0012-821X(01)00537-4</v>
      </c>
      <c r="BG892" t="s">
        <v>74</v>
      </c>
      <c r="BH892" t="s">
        <v>74</v>
      </c>
      <c r="BI892">
        <v>7</v>
      </c>
      <c r="BJ892" t="s">
        <v>556</v>
      </c>
      <c r="BK892" t="s">
        <v>170</v>
      </c>
      <c r="BL892" t="s">
        <v>556</v>
      </c>
      <c r="BM892" t="s">
        <v>12159</v>
      </c>
      <c r="BN892" t="s">
        <v>74</v>
      </c>
      <c r="BO892" t="s">
        <v>74</v>
      </c>
      <c r="BP892" t="s">
        <v>74</v>
      </c>
      <c r="BQ892" t="s">
        <v>74</v>
      </c>
      <c r="BR892" t="s">
        <v>107</v>
      </c>
      <c r="BS892" t="s">
        <v>12160</v>
      </c>
      <c r="BT892" t="str">
        <f>HYPERLINK("https%3A%2F%2Fwww.webofscience.com%2Fwos%2Fwoscc%2Ffull-record%2FWOS:000173493300003","View Full Record in Web of Science")</f>
        <v>View Full Record in Web of Science</v>
      </c>
    </row>
    <row r="893" spans="1:72" x14ac:dyDescent="0.15">
      <c r="A893" t="s">
        <v>72</v>
      </c>
      <c r="B893" t="s">
        <v>12161</v>
      </c>
      <c r="C893" t="s">
        <v>74</v>
      </c>
      <c r="D893" t="s">
        <v>74</v>
      </c>
      <c r="E893" t="s">
        <v>74</v>
      </c>
      <c r="F893" t="s">
        <v>12161</v>
      </c>
      <c r="G893" t="s">
        <v>74</v>
      </c>
      <c r="H893" t="s">
        <v>74</v>
      </c>
      <c r="I893" t="s">
        <v>12162</v>
      </c>
      <c r="J893" t="s">
        <v>12163</v>
      </c>
      <c r="K893" t="s">
        <v>74</v>
      </c>
      <c r="L893" t="s">
        <v>74</v>
      </c>
      <c r="M893" t="s">
        <v>77</v>
      </c>
      <c r="N893" t="s">
        <v>5784</v>
      </c>
      <c r="O893" t="s">
        <v>74</v>
      </c>
      <c r="P893" t="s">
        <v>74</v>
      </c>
      <c r="Q893" t="s">
        <v>74</v>
      </c>
      <c r="R893" t="s">
        <v>74</v>
      </c>
      <c r="S893" t="s">
        <v>74</v>
      </c>
      <c r="T893" t="s">
        <v>74</v>
      </c>
      <c r="U893" t="s">
        <v>74</v>
      </c>
      <c r="V893" t="s">
        <v>74</v>
      </c>
      <c r="W893" t="s">
        <v>74</v>
      </c>
      <c r="X893" t="s">
        <v>74</v>
      </c>
      <c r="Y893" t="s">
        <v>74</v>
      </c>
      <c r="Z893" t="s">
        <v>74</v>
      </c>
      <c r="AA893" t="s">
        <v>74</v>
      </c>
      <c r="AB893" t="s">
        <v>74</v>
      </c>
      <c r="AC893" t="s">
        <v>74</v>
      </c>
      <c r="AD893" t="s">
        <v>74</v>
      </c>
      <c r="AE893" t="s">
        <v>74</v>
      </c>
      <c r="AF893" t="s">
        <v>74</v>
      </c>
      <c r="AG893">
        <v>1</v>
      </c>
      <c r="AH893">
        <v>1</v>
      </c>
      <c r="AI893">
        <v>1</v>
      </c>
      <c r="AJ893">
        <v>0</v>
      </c>
      <c r="AK893">
        <v>3</v>
      </c>
      <c r="AL893" t="s">
        <v>12164</v>
      </c>
      <c r="AM893" t="s">
        <v>195</v>
      </c>
      <c r="AN893" t="s">
        <v>12165</v>
      </c>
      <c r="AO893" t="s">
        <v>12166</v>
      </c>
      <c r="AP893" t="s">
        <v>74</v>
      </c>
      <c r="AQ893" t="s">
        <v>74</v>
      </c>
      <c r="AR893" t="s">
        <v>12167</v>
      </c>
      <c r="AS893" t="s">
        <v>12168</v>
      </c>
      <c r="AT893" t="s">
        <v>12157</v>
      </c>
      <c r="AU893">
        <v>2001</v>
      </c>
      <c r="AV893" t="s">
        <v>74</v>
      </c>
      <c r="AW893" t="s">
        <v>74</v>
      </c>
      <c r="AX893" t="s">
        <v>74</v>
      </c>
      <c r="AY893" t="s">
        <v>74</v>
      </c>
      <c r="AZ893" t="s">
        <v>74</v>
      </c>
      <c r="BA893" t="s">
        <v>74</v>
      </c>
      <c r="BB893">
        <v>17</v>
      </c>
      <c r="BC893">
        <v>17</v>
      </c>
      <c r="BD893" t="s">
        <v>74</v>
      </c>
      <c r="BE893" t="s">
        <v>74</v>
      </c>
      <c r="BF893" t="s">
        <v>74</v>
      </c>
      <c r="BG893" t="s">
        <v>74</v>
      </c>
      <c r="BH893" t="s">
        <v>74</v>
      </c>
      <c r="BI893">
        <v>1</v>
      </c>
      <c r="BJ893" t="s">
        <v>5793</v>
      </c>
      <c r="BK893" t="s">
        <v>5794</v>
      </c>
      <c r="BL893" t="s">
        <v>5795</v>
      </c>
      <c r="BM893" t="s">
        <v>12169</v>
      </c>
      <c r="BN893" t="s">
        <v>74</v>
      </c>
      <c r="BO893" t="s">
        <v>74</v>
      </c>
      <c r="BP893" t="s">
        <v>74</v>
      </c>
      <c r="BQ893" t="s">
        <v>74</v>
      </c>
      <c r="BR893" t="s">
        <v>107</v>
      </c>
      <c r="BS893" t="s">
        <v>12170</v>
      </c>
      <c r="BT893" t="str">
        <f>HYPERLINK("https%3A%2F%2Fwww.webofscience.com%2Fwos%2Fwoscc%2Ffull-record%2FWOS:000172925200030","View Full Record in Web of Science")</f>
        <v>View Full Record in Web of Science</v>
      </c>
    </row>
    <row r="894" spans="1:72" x14ac:dyDescent="0.15">
      <c r="A894" t="s">
        <v>72</v>
      </c>
      <c r="B894" t="s">
        <v>12171</v>
      </c>
      <c r="C894" t="s">
        <v>74</v>
      </c>
      <c r="D894" t="s">
        <v>74</v>
      </c>
      <c r="E894" t="s">
        <v>74</v>
      </c>
      <c r="F894" t="s">
        <v>12171</v>
      </c>
      <c r="G894" t="s">
        <v>74</v>
      </c>
      <c r="H894" t="s">
        <v>74</v>
      </c>
      <c r="I894" t="s">
        <v>12172</v>
      </c>
      <c r="J894" t="s">
        <v>1471</v>
      </c>
      <c r="K894" t="s">
        <v>74</v>
      </c>
      <c r="L894" t="s">
        <v>74</v>
      </c>
      <c r="M894" t="s">
        <v>77</v>
      </c>
      <c r="N894" t="s">
        <v>153</v>
      </c>
      <c r="O894" t="s">
        <v>74</v>
      </c>
      <c r="P894" t="s">
        <v>74</v>
      </c>
      <c r="Q894" t="s">
        <v>74</v>
      </c>
      <c r="R894" t="s">
        <v>74</v>
      </c>
      <c r="S894" t="s">
        <v>74</v>
      </c>
      <c r="T894" t="s">
        <v>74</v>
      </c>
      <c r="U894" t="s">
        <v>12173</v>
      </c>
      <c r="V894" t="s">
        <v>12174</v>
      </c>
      <c r="W894" t="s">
        <v>12175</v>
      </c>
      <c r="X894" t="s">
        <v>12176</v>
      </c>
      <c r="Y894" t="s">
        <v>268</v>
      </c>
      <c r="Z894" t="s">
        <v>12177</v>
      </c>
      <c r="AA894" t="s">
        <v>74</v>
      </c>
      <c r="AB894" t="s">
        <v>74</v>
      </c>
      <c r="AC894" t="s">
        <v>74</v>
      </c>
      <c r="AD894" t="s">
        <v>74</v>
      </c>
      <c r="AE894" t="s">
        <v>74</v>
      </c>
      <c r="AF894" t="s">
        <v>74</v>
      </c>
      <c r="AG894">
        <v>29</v>
      </c>
      <c r="AH894">
        <v>53</v>
      </c>
      <c r="AI894">
        <v>60</v>
      </c>
      <c r="AJ894">
        <v>0</v>
      </c>
      <c r="AK894">
        <v>15</v>
      </c>
      <c r="AL894" t="s">
        <v>161</v>
      </c>
      <c r="AM894" t="s">
        <v>162</v>
      </c>
      <c r="AN894" t="s">
        <v>163</v>
      </c>
      <c r="AO894" t="s">
        <v>1518</v>
      </c>
      <c r="AP894" t="s">
        <v>1519</v>
      </c>
      <c r="AQ894" t="s">
        <v>74</v>
      </c>
      <c r="AR894" t="s">
        <v>1480</v>
      </c>
      <c r="AS894" t="s">
        <v>1481</v>
      </c>
      <c r="AT894" t="s">
        <v>12178</v>
      </c>
      <c r="AU894">
        <v>2001</v>
      </c>
      <c r="AV894">
        <v>106</v>
      </c>
      <c r="AW894" t="s">
        <v>12179</v>
      </c>
      <c r="AX894" t="s">
        <v>74</v>
      </c>
      <c r="AY894" t="s">
        <v>74</v>
      </c>
      <c r="AZ894" t="s">
        <v>74</v>
      </c>
      <c r="BA894" t="s">
        <v>74</v>
      </c>
      <c r="BB894">
        <v>33471</v>
      </c>
      <c r="BC894">
        <v>33484</v>
      </c>
      <c r="BD894" t="s">
        <v>74</v>
      </c>
      <c r="BE894" t="s">
        <v>12180</v>
      </c>
      <c r="BF894" t="str">
        <f>HYPERLINK("http://dx.doi.org/10.1029/2001JD000498","http://dx.doi.org/10.1029/2001JD000498")</f>
        <v>http://dx.doi.org/10.1029/2001JD000498</v>
      </c>
      <c r="BG894" t="s">
        <v>74</v>
      </c>
      <c r="BH894" t="s">
        <v>74</v>
      </c>
      <c r="BI894">
        <v>14</v>
      </c>
      <c r="BJ894" t="s">
        <v>403</v>
      </c>
      <c r="BK894" t="s">
        <v>170</v>
      </c>
      <c r="BL894" t="s">
        <v>403</v>
      </c>
      <c r="BM894" t="s">
        <v>12181</v>
      </c>
      <c r="BN894" t="s">
        <v>74</v>
      </c>
      <c r="BO894" t="s">
        <v>106</v>
      </c>
      <c r="BP894" t="s">
        <v>74</v>
      </c>
      <c r="BQ894" t="s">
        <v>74</v>
      </c>
      <c r="BR894" t="s">
        <v>107</v>
      </c>
      <c r="BS894" t="s">
        <v>12182</v>
      </c>
      <c r="BT894" t="str">
        <f>HYPERLINK("https%3A%2F%2Fwww.webofscience.com%2Fwos%2Fwoscc%2Ffull-record%2FWOS:000173879800007","View Full Record in Web of Science")</f>
        <v>View Full Record in Web of Science</v>
      </c>
    </row>
    <row r="895" spans="1:72" x14ac:dyDescent="0.15">
      <c r="A895" t="s">
        <v>72</v>
      </c>
      <c r="B895" t="s">
        <v>12183</v>
      </c>
      <c r="C895" t="s">
        <v>74</v>
      </c>
      <c r="D895" t="s">
        <v>74</v>
      </c>
      <c r="E895" t="s">
        <v>74</v>
      </c>
      <c r="F895" t="s">
        <v>12183</v>
      </c>
      <c r="G895" t="s">
        <v>74</v>
      </c>
      <c r="H895" t="s">
        <v>74</v>
      </c>
      <c r="I895" t="s">
        <v>12184</v>
      </c>
      <c r="J895" t="s">
        <v>1471</v>
      </c>
      <c r="K895" t="s">
        <v>74</v>
      </c>
      <c r="L895" t="s">
        <v>74</v>
      </c>
      <c r="M895" t="s">
        <v>77</v>
      </c>
      <c r="N895" t="s">
        <v>153</v>
      </c>
      <c r="O895" t="s">
        <v>74</v>
      </c>
      <c r="P895" t="s">
        <v>74</v>
      </c>
      <c r="Q895" t="s">
        <v>74</v>
      </c>
      <c r="R895" t="s">
        <v>74</v>
      </c>
      <c r="S895" t="s">
        <v>74</v>
      </c>
      <c r="T895" t="s">
        <v>74</v>
      </c>
      <c r="U895" t="s">
        <v>12185</v>
      </c>
      <c r="V895" t="s">
        <v>12186</v>
      </c>
      <c r="W895" t="s">
        <v>12187</v>
      </c>
      <c r="X895" t="s">
        <v>12188</v>
      </c>
      <c r="Y895" t="s">
        <v>7272</v>
      </c>
      <c r="Z895" t="s">
        <v>12189</v>
      </c>
      <c r="AA895" t="s">
        <v>12190</v>
      </c>
      <c r="AB895" t="s">
        <v>12191</v>
      </c>
      <c r="AC895" t="s">
        <v>74</v>
      </c>
      <c r="AD895" t="s">
        <v>74</v>
      </c>
      <c r="AE895" t="s">
        <v>74</v>
      </c>
      <c r="AF895" t="s">
        <v>74</v>
      </c>
      <c r="AG895">
        <v>49</v>
      </c>
      <c r="AH895">
        <v>63</v>
      </c>
      <c r="AI895">
        <v>68</v>
      </c>
      <c r="AJ895">
        <v>0</v>
      </c>
      <c r="AK895">
        <v>12</v>
      </c>
      <c r="AL895" t="s">
        <v>161</v>
      </c>
      <c r="AM895" t="s">
        <v>162</v>
      </c>
      <c r="AN895" t="s">
        <v>163</v>
      </c>
      <c r="AO895" t="s">
        <v>1518</v>
      </c>
      <c r="AP895" t="s">
        <v>1519</v>
      </c>
      <c r="AQ895" t="s">
        <v>74</v>
      </c>
      <c r="AR895" t="s">
        <v>1480</v>
      </c>
      <c r="AS895" t="s">
        <v>1481</v>
      </c>
      <c r="AT895" t="s">
        <v>12178</v>
      </c>
      <c r="AU895">
        <v>2001</v>
      </c>
      <c r="AV895">
        <v>106</v>
      </c>
      <c r="AW895" t="s">
        <v>12179</v>
      </c>
      <c r="AX895" t="s">
        <v>74</v>
      </c>
      <c r="AY895" t="s">
        <v>74</v>
      </c>
      <c r="AZ895" t="s">
        <v>74</v>
      </c>
      <c r="BA895" t="s">
        <v>74</v>
      </c>
      <c r="BB895">
        <v>34007</v>
      </c>
      <c r="BC895">
        <v>34019</v>
      </c>
      <c r="BD895" t="s">
        <v>74</v>
      </c>
      <c r="BE895" t="s">
        <v>12192</v>
      </c>
      <c r="BF895" t="str">
        <f>HYPERLINK("http://dx.doi.org/10.1029/2001JD900071","http://dx.doi.org/10.1029/2001JD900071")</f>
        <v>http://dx.doi.org/10.1029/2001JD900071</v>
      </c>
      <c r="BG895" t="s">
        <v>74</v>
      </c>
      <c r="BH895" t="s">
        <v>74</v>
      </c>
      <c r="BI895">
        <v>13</v>
      </c>
      <c r="BJ895" t="s">
        <v>403</v>
      </c>
      <c r="BK895" t="s">
        <v>170</v>
      </c>
      <c r="BL895" t="s">
        <v>403</v>
      </c>
      <c r="BM895" t="s">
        <v>12181</v>
      </c>
      <c r="BN895" t="s">
        <v>74</v>
      </c>
      <c r="BO895" t="s">
        <v>1767</v>
      </c>
      <c r="BP895" t="s">
        <v>74</v>
      </c>
      <c r="BQ895" t="s">
        <v>74</v>
      </c>
      <c r="BR895" t="s">
        <v>107</v>
      </c>
      <c r="BS895" t="s">
        <v>12193</v>
      </c>
      <c r="BT895" t="str">
        <f>HYPERLINK("https%3A%2F%2Fwww.webofscience.com%2Fwos%2Fwoscc%2Ffull-record%2FWOS:000173879800047","View Full Record in Web of Science")</f>
        <v>View Full Record in Web of Science</v>
      </c>
    </row>
    <row r="896" spans="1:72" x14ac:dyDescent="0.15">
      <c r="A896" t="s">
        <v>72</v>
      </c>
      <c r="B896" t="s">
        <v>12194</v>
      </c>
      <c r="C896" t="s">
        <v>74</v>
      </c>
      <c r="D896" t="s">
        <v>74</v>
      </c>
      <c r="E896" t="s">
        <v>74</v>
      </c>
      <c r="F896" t="s">
        <v>12194</v>
      </c>
      <c r="G896" t="s">
        <v>74</v>
      </c>
      <c r="H896" t="s">
        <v>74</v>
      </c>
      <c r="I896" t="s">
        <v>12195</v>
      </c>
      <c r="J896" t="s">
        <v>12196</v>
      </c>
      <c r="K896" t="s">
        <v>74</v>
      </c>
      <c r="L896" t="s">
        <v>74</v>
      </c>
      <c r="M896" t="s">
        <v>77</v>
      </c>
      <c r="N896" t="s">
        <v>153</v>
      </c>
      <c r="O896" t="s">
        <v>74</v>
      </c>
      <c r="P896" t="s">
        <v>74</v>
      </c>
      <c r="Q896" t="s">
        <v>74</v>
      </c>
      <c r="R896" t="s">
        <v>74</v>
      </c>
      <c r="S896" t="s">
        <v>74</v>
      </c>
      <c r="T896" t="s">
        <v>12197</v>
      </c>
      <c r="U896" t="s">
        <v>12198</v>
      </c>
      <c r="V896" t="s">
        <v>12199</v>
      </c>
      <c r="W896" t="s">
        <v>12200</v>
      </c>
      <c r="X896" t="s">
        <v>6269</v>
      </c>
      <c r="Y896" t="s">
        <v>12201</v>
      </c>
      <c r="Z896" t="s">
        <v>74</v>
      </c>
      <c r="AA896" t="s">
        <v>74</v>
      </c>
      <c r="AB896" t="s">
        <v>74</v>
      </c>
      <c r="AC896" t="s">
        <v>74</v>
      </c>
      <c r="AD896" t="s">
        <v>74</v>
      </c>
      <c r="AE896" t="s">
        <v>74</v>
      </c>
      <c r="AF896" t="s">
        <v>74</v>
      </c>
      <c r="AG896">
        <v>18</v>
      </c>
      <c r="AH896">
        <v>3</v>
      </c>
      <c r="AI896">
        <v>3</v>
      </c>
      <c r="AJ896">
        <v>0</v>
      </c>
      <c r="AK896">
        <v>5</v>
      </c>
      <c r="AL896" t="s">
        <v>12202</v>
      </c>
      <c r="AM896" t="s">
        <v>12203</v>
      </c>
      <c r="AN896" t="s">
        <v>12204</v>
      </c>
      <c r="AO896" t="s">
        <v>12205</v>
      </c>
      <c r="AP896" t="s">
        <v>74</v>
      </c>
      <c r="AQ896" t="s">
        <v>74</v>
      </c>
      <c r="AR896" t="s">
        <v>12206</v>
      </c>
      <c r="AS896" t="s">
        <v>12207</v>
      </c>
      <c r="AT896" t="s">
        <v>12208</v>
      </c>
      <c r="AU896">
        <v>2001</v>
      </c>
      <c r="AV896">
        <v>123</v>
      </c>
      <c r="AW896" t="s">
        <v>74</v>
      </c>
      <c r="AX896" t="s">
        <v>74</v>
      </c>
      <c r="AY896" t="s">
        <v>74</v>
      </c>
      <c r="AZ896" t="s">
        <v>74</v>
      </c>
      <c r="BA896" t="s">
        <v>74</v>
      </c>
      <c r="BB896">
        <v>101</v>
      </c>
      <c r="BC896">
        <v>118</v>
      </c>
      <c r="BD896" t="s">
        <v>74</v>
      </c>
      <c r="BE896" t="s">
        <v>74</v>
      </c>
      <c r="BF896" t="s">
        <v>74</v>
      </c>
      <c r="BG896" t="s">
        <v>74</v>
      </c>
      <c r="BH896" t="s">
        <v>74</v>
      </c>
      <c r="BI896">
        <v>18</v>
      </c>
      <c r="BJ896" t="s">
        <v>277</v>
      </c>
      <c r="BK896" t="s">
        <v>170</v>
      </c>
      <c r="BL896" t="s">
        <v>278</v>
      </c>
      <c r="BM896" t="s">
        <v>12209</v>
      </c>
      <c r="BN896" t="s">
        <v>74</v>
      </c>
      <c r="BO896" t="s">
        <v>74</v>
      </c>
      <c r="BP896" t="s">
        <v>74</v>
      </c>
      <c r="BQ896" t="s">
        <v>74</v>
      </c>
      <c r="BR896" t="s">
        <v>107</v>
      </c>
      <c r="BS896" t="s">
        <v>12210</v>
      </c>
      <c r="BT896" t="str">
        <f>HYPERLINK("https%3A%2F%2Fwww.webofscience.com%2Fwos%2Fwoscc%2Ffull-record%2FWOS:000174087300006","View Full Record in Web of Science")</f>
        <v>View Full Record in Web of Science</v>
      </c>
    </row>
    <row r="897" spans="1:72" x14ac:dyDescent="0.15">
      <c r="A897" t="s">
        <v>72</v>
      </c>
      <c r="B897" t="s">
        <v>12211</v>
      </c>
      <c r="C897" t="s">
        <v>74</v>
      </c>
      <c r="D897" t="s">
        <v>74</v>
      </c>
      <c r="E897" t="s">
        <v>74</v>
      </c>
      <c r="F897" t="s">
        <v>12211</v>
      </c>
      <c r="G897" t="s">
        <v>74</v>
      </c>
      <c r="H897" t="s">
        <v>74</v>
      </c>
      <c r="I897" t="s">
        <v>12212</v>
      </c>
      <c r="J897" t="s">
        <v>5811</v>
      </c>
      <c r="K897" t="s">
        <v>74</v>
      </c>
      <c r="L897" t="s">
        <v>74</v>
      </c>
      <c r="M897" t="s">
        <v>77</v>
      </c>
      <c r="N897" t="s">
        <v>153</v>
      </c>
      <c r="O897" t="s">
        <v>74</v>
      </c>
      <c r="P897" t="s">
        <v>74</v>
      </c>
      <c r="Q897" t="s">
        <v>74</v>
      </c>
      <c r="R897" t="s">
        <v>74</v>
      </c>
      <c r="S897" t="s">
        <v>74</v>
      </c>
      <c r="T897" t="s">
        <v>12213</v>
      </c>
      <c r="U897" t="s">
        <v>12214</v>
      </c>
      <c r="V897" t="s">
        <v>12215</v>
      </c>
      <c r="W897" t="s">
        <v>12216</v>
      </c>
      <c r="X897" t="s">
        <v>12217</v>
      </c>
      <c r="Y897" t="s">
        <v>12218</v>
      </c>
      <c r="Z897" t="s">
        <v>546</v>
      </c>
      <c r="AA897" t="s">
        <v>12219</v>
      </c>
      <c r="AB897" t="s">
        <v>12220</v>
      </c>
      <c r="AC897" t="s">
        <v>74</v>
      </c>
      <c r="AD897" t="s">
        <v>74</v>
      </c>
      <c r="AE897" t="s">
        <v>74</v>
      </c>
      <c r="AF897" t="s">
        <v>74</v>
      </c>
      <c r="AG897">
        <v>28</v>
      </c>
      <c r="AH897">
        <v>59</v>
      </c>
      <c r="AI897">
        <v>62</v>
      </c>
      <c r="AJ897">
        <v>0</v>
      </c>
      <c r="AK897">
        <v>11</v>
      </c>
      <c r="AL897" t="s">
        <v>90</v>
      </c>
      <c r="AM897" t="s">
        <v>91</v>
      </c>
      <c r="AN897" t="s">
        <v>92</v>
      </c>
      <c r="AO897" t="s">
        <v>5820</v>
      </c>
      <c r="AP897" t="s">
        <v>12221</v>
      </c>
      <c r="AQ897" t="s">
        <v>74</v>
      </c>
      <c r="AR897" t="s">
        <v>5821</v>
      </c>
      <c r="AS897" t="s">
        <v>5822</v>
      </c>
      <c r="AT897" t="s">
        <v>12222</v>
      </c>
      <c r="AU897">
        <v>2001</v>
      </c>
      <c r="AV897">
        <v>450</v>
      </c>
      <c r="AW897" t="s">
        <v>98</v>
      </c>
      <c r="AX897" t="s">
        <v>74</v>
      </c>
      <c r="AY897" t="s">
        <v>74</v>
      </c>
      <c r="AZ897" t="s">
        <v>74</v>
      </c>
      <c r="BA897" t="s">
        <v>74</v>
      </c>
      <c r="BB897">
        <v>193</v>
      </c>
      <c r="BC897">
        <v>205</v>
      </c>
      <c r="BD897" t="s">
        <v>74</v>
      </c>
      <c r="BE897" t="s">
        <v>12223</v>
      </c>
      <c r="BF897" t="str">
        <f>HYPERLINK("http://dx.doi.org/10.1016/S0003-2670(01)01379-4","http://dx.doi.org/10.1016/S0003-2670(01)01379-4")</f>
        <v>http://dx.doi.org/10.1016/S0003-2670(01)01379-4</v>
      </c>
      <c r="BG897" t="s">
        <v>74</v>
      </c>
      <c r="BH897" t="s">
        <v>74</v>
      </c>
      <c r="BI897">
        <v>13</v>
      </c>
      <c r="BJ897" t="s">
        <v>2188</v>
      </c>
      <c r="BK897" t="s">
        <v>170</v>
      </c>
      <c r="BL897" t="s">
        <v>2189</v>
      </c>
      <c r="BM897" t="s">
        <v>12224</v>
      </c>
      <c r="BN897" t="s">
        <v>74</v>
      </c>
      <c r="BO897" t="s">
        <v>74</v>
      </c>
      <c r="BP897" t="s">
        <v>74</v>
      </c>
      <c r="BQ897" t="s">
        <v>74</v>
      </c>
      <c r="BR897" t="s">
        <v>107</v>
      </c>
      <c r="BS897" t="s">
        <v>12225</v>
      </c>
      <c r="BT897" t="str">
        <f>HYPERLINK("https%3A%2F%2Fwww.webofscience.com%2Fwos%2Fwoscc%2Ffull-record%2FWOS:000172657500018","View Full Record in Web of Science")</f>
        <v>View Full Record in Web of Science</v>
      </c>
    </row>
    <row r="898" spans="1:72" x14ac:dyDescent="0.15">
      <c r="A898" t="s">
        <v>72</v>
      </c>
      <c r="B898" t="s">
        <v>12226</v>
      </c>
      <c r="C898" t="s">
        <v>74</v>
      </c>
      <c r="D898" t="s">
        <v>74</v>
      </c>
      <c r="E898" t="s">
        <v>74</v>
      </c>
      <c r="F898" t="s">
        <v>12226</v>
      </c>
      <c r="G898" t="s">
        <v>74</v>
      </c>
      <c r="H898" t="s">
        <v>74</v>
      </c>
      <c r="I898" t="s">
        <v>12227</v>
      </c>
      <c r="J898" t="s">
        <v>572</v>
      </c>
      <c r="K898" t="s">
        <v>74</v>
      </c>
      <c r="L898" t="s">
        <v>74</v>
      </c>
      <c r="M898" t="s">
        <v>77</v>
      </c>
      <c r="N898" t="s">
        <v>153</v>
      </c>
      <c r="O898" t="s">
        <v>74</v>
      </c>
      <c r="P898" t="s">
        <v>74</v>
      </c>
      <c r="Q898" t="s">
        <v>74</v>
      </c>
      <c r="R898" t="s">
        <v>74</v>
      </c>
      <c r="S898" t="s">
        <v>74</v>
      </c>
      <c r="T898" t="s">
        <v>74</v>
      </c>
      <c r="U898" t="s">
        <v>12228</v>
      </c>
      <c r="V898" t="s">
        <v>12229</v>
      </c>
      <c r="W898" t="s">
        <v>7260</v>
      </c>
      <c r="X898" t="s">
        <v>7280</v>
      </c>
      <c r="Y898" t="s">
        <v>12230</v>
      </c>
      <c r="Z898" t="s">
        <v>74</v>
      </c>
      <c r="AA898" t="s">
        <v>12231</v>
      </c>
      <c r="AB898" t="s">
        <v>12232</v>
      </c>
      <c r="AC898" t="s">
        <v>74</v>
      </c>
      <c r="AD898" t="s">
        <v>74</v>
      </c>
      <c r="AE898" t="s">
        <v>74</v>
      </c>
      <c r="AF898" t="s">
        <v>74</v>
      </c>
      <c r="AG898">
        <v>53</v>
      </c>
      <c r="AH898">
        <v>50</v>
      </c>
      <c r="AI898">
        <v>53</v>
      </c>
      <c r="AJ898">
        <v>0</v>
      </c>
      <c r="AK898">
        <v>4</v>
      </c>
      <c r="AL898" t="s">
        <v>581</v>
      </c>
      <c r="AM898" t="s">
        <v>162</v>
      </c>
      <c r="AN898" t="s">
        <v>582</v>
      </c>
      <c r="AO898" t="s">
        <v>583</v>
      </c>
      <c r="AP898" t="s">
        <v>74</v>
      </c>
      <c r="AQ898" t="s">
        <v>74</v>
      </c>
      <c r="AR898" t="s">
        <v>585</v>
      </c>
      <c r="AS898" t="s">
        <v>586</v>
      </c>
      <c r="AT898" t="s">
        <v>12233</v>
      </c>
      <c r="AU898">
        <v>2001</v>
      </c>
      <c r="AV898">
        <v>105</v>
      </c>
      <c r="AW898">
        <v>50</v>
      </c>
      <c r="AX898" t="s">
        <v>74</v>
      </c>
      <c r="AY898" t="s">
        <v>74</v>
      </c>
      <c r="AZ898" t="s">
        <v>74</v>
      </c>
      <c r="BA898" t="s">
        <v>74</v>
      </c>
      <c r="BB898">
        <v>11226</v>
      </c>
      <c r="BC898">
        <v>11239</v>
      </c>
      <c r="BD898" t="s">
        <v>74</v>
      </c>
      <c r="BE898" t="s">
        <v>12234</v>
      </c>
      <c r="BF898" t="str">
        <f>HYPERLINK("http://dx.doi.org/10.1021/jp012429y","http://dx.doi.org/10.1021/jp012429y")</f>
        <v>http://dx.doi.org/10.1021/jp012429y</v>
      </c>
      <c r="BG898" t="s">
        <v>74</v>
      </c>
      <c r="BH898" t="s">
        <v>74</v>
      </c>
      <c r="BI898">
        <v>14</v>
      </c>
      <c r="BJ898" t="s">
        <v>588</v>
      </c>
      <c r="BK898" t="s">
        <v>170</v>
      </c>
      <c r="BL898" t="s">
        <v>589</v>
      </c>
      <c r="BM898" t="s">
        <v>12235</v>
      </c>
      <c r="BN898" t="s">
        <v>74</v>
      </c>
      <c r="BO898" t="s">
        <v>74</v>
      </c>
      <c r="BP898" t="s">
        <v>74</v>
      </c>
      <c r="BQ898" t="s">
        <v>74</v>
      </c>
      <c r="BR898" t="s">
        <v>107</v>
      </c>
      <c r="BS898" t="s">
        <v>12236</v>
      </c>
      <c r="BT898" t="str">
        <f>HYPERLINK("https%3A%2F%2Fwww.webofscience.com%2Fwos%2Fwoscc%2Ffull-record%2FWOS:000172945600011","View Full Record in Web of Science")</f>
        <v>View Full Record in Web of Science</v>
      </c>
    </row>
    <row r="899" spans="1:72" x14ac:dyDescent="0.15">
      <c r="A899" t="s">
        <v>72</v>
      </c>
      <c r="B899" t="s">
        <v>12237</v>
      </c>
      <c r="C899" t="s">
        <v>74</v>
      </c>
      <c r="D899" t="s">
        <v>74</v>
      </c>
      <c r="E899" t="s">
        <v>74</v>
      </c>
      <c r="F899" t="s">
        <v>12237</v>
      </c>
      <c r="G899" t="s">
        <v>74</v>
      </c>
      <c r="H899" t="s">
        <v>74</v>
      </c>
      <c r="I899" t="s">
        <v>12238</v>
      </c>
      <c r="J899" t="s">
        <v>3560</v>
      </c>
      <c r="K899" t="s">
        <v>74</v>
      </c>
      <c r="L899" t="s">
        <v>74</v>
      </c>
      <c r="M899" t="s">
        <v>77</v>
      </c>
      <c r="N899" t="s">
        <v>153</v>
      </c>
      <c r="O899" t="s">
        <v>74</v>
      </c>
      <c r="P899" t="s">
        <v>74</v>
      </c>
      <c r="Q899" t="s">
        <v>74</v>
      </c>
      <c r="R899" t="s">
        <v>74</v>
      </c>
      <c r="S899" t="s">
        <v>74</v>
      </c>
      <c r="T899" t="s">
        <v>74</v>
      </c>
      <c r="U899" t="s">
        <v>74</v>
      </c>
      <c r="V899" t="s">
        <v>12239</v>
      </c>
      <c r="W899" t="s">
        <v>12240</v>
      </c>
      <c r="X899" t="s">
        <v>12241</v>
      </c>
      <c r="Y899" t="s">
        <v>12242</v>
      </c>
      <c r="Z899" t="s">
        <v>74</v>
      </c>
      <c r="AA899" t="s">
        <v>12243</v>
      </c>
      <c r="AB899" t="s">
        <v>12244</v>
      </c>
      <c r="AC899" t="s">
        <v>74</v>
      </c>
      <c r="AD899" t="s">
        <v>74</v>
      </c>
      <c r="AE899" t="s">
        <v>74</v>
      </c>
      <c r="AF899" t="s">
        <v>74</v>
      </c>
      <c r="AG899">
        <v>33</v>
      </c>
      <c r="AH899">
        <v>5</v>
      </c>
      <c r="AI899">
        <v>9</v>
      </c>
      <c r="AJ899">
        <v>0</v>
      </c>
      <c r="AK899">
        <v>4</v>
      </c>
      <c r="AL899" t="s">
        <v>3565</v>
      </c>
      <c r="AM899" t="s">
        <v>162</v>
      </c>
      <c r="AN899" t="s">
        <v>3566</v>
      </c>
      <c r="AO899" t="s">
        <v>3567</v>
      </c>
      <c r="AP899" t="s">
        <v>3582</v>
      </c>
      <c r="AQ899" t="s">
        <v>74</v>
      </c>
      <c r="AR899" t="s">
        <v>3568</v>
      </c>
      <c r="AS899" t="s">
        <v>3569</v>
      </c>
      <c r="AT899" t="s">
        <v>12245</v>
      </c>
      <c r="AU899">
        <v>2001</v>
      </c>
      <c r="AV899">
        <v>114</v>
      </c>
      <c r="AW899">
        <v>4</v>
      </c>
      <c r="AX899" t="s">
        <v>74</v>
      </c>
      <c r="AY899" t="s">
        <v>74</v>
      </c>
      <c r="AZ899" t="s">
        <v>74</v>
      </c>
      <c r="BA899" t="s">
        <v>74</v>
      </c>
      <c r="BB899">
        <v>861</v>
      </c>
      <c r="BC899">
        <v>880</v>
      </c>
      <c r="BD899" t="s">
        <v>74</v>
      </c>
      <c r="BE899" t="s">
        <v>74</v>
      </c>
      <c r="BF899" t="s">
        <v>74</v>
      </c>
      <c r="BG899" t="s">
        <v>74</v>
      </c>
      <c r="BH899" t="s">
        <v>74</v>
      </c>
      <c r="BI899">
        <v>20</v>
      </c>
      <c r="BJ899" t="s">
        <v>1814</v>
      </c>
      <c r="BK899" t="s">
        <v>170</v>
      </c>
      <c r="BL899" t="s">
        <v>1815</v>
      </c>
      <c r="BM899" t="s">
        <v>12246</v>
      </c>
      <c r="BN899" t="s">
        <v>74</v>
      </c>
      <c r="BO899" t="s">
        <v>74</v>
      </c>
      <c r="BP899" t="s">
        <v>74</v>
      </c>
      <c r="BQ899" t="s">
        <v>74</v>
      </c>
      <c r="BR899" t="s">
        <v>107</v>
      </c>
      <c r="BS899" t="s">
        <v>12247</v>
      </c>
      <c r="BT899" t="str">
        <f>HYPERLINK("https%3A%2F%2Fwww.webofscience.com%2Fwos%2Fwoscc%2Ffull-record%2FWOS:000172948000004","View Full Record in Web of Science")</f>
        <v>View Full Record in Web of Science</v>
      </c>
    </row>
    <row r="900" spans="1:72" x14ac:dyDescent="0.15">
      <c r="A900" t="s">
        <v>72</v>
      </c>
      <c r="B900" t="s">
        <v>12248</v>
      </c>
      <c r="C900" t="s">
        <v>74</v>
      </c>
      <c r="D900" t="s">
        <v>74</v>
      </c>
      <c r="E900" t="s">
        <v>74</v>
      </c>
      <c r="F900" t="s">
        <v>12248</v>
      </c>
      <c r="G900" t="s">
        <v>74</v>
      </c>
      <c r="H900" t="s">
        <v>74</v>
      </c>
      <c r="I900" t="s">
        <v>12249</v>
      </c>
      <c r="J900" t="s">
        <v>3560</v>
      </c>
      <c r="K900" t="s">
        <v>74</v>
      </c>
      <c r="L900" t="s">
        <v>74</v>
      </c>
      <c r="M900" t="s">
        <v>77</v>
      </c>
      <c r="N900" t="s">
        <v>153</v>
      </c>
      <c r="O900" t="s">
        <v>74</v>
      </c>
      <c r="P900" t="s">
        <v>74</v>
      </c>
      <c r="Q900" t="s">
        <v>74</v>
      </c>
      <c r="R900" t="s">
        <v>74</v>
      </c>
      <c r="S900" t="s">
        <v>74</v>
      </c>
      <c r="T900" t="s">
        <v>74</v>
      </c>
      <c r="U900" t="s">
        <v>12250</v>
      </c>
      <c r="V900" t="s">
        <v>12251</v>
      </c>
      <c r="W900" t="s">
        <v>12252</v>
      </c>
      <c r="X900" t="s">
        <v>12253</v>
      </c>
      <c r="Y900" t="s">
        <v>12254</v>
      </c>
      <c r="Z900" t="s">
        <v>74</v>
      </c>
      <c r="AA900" t="s">
        <v>4991</v>
      </c>
      <c r="AB900" t="s">
        <v>4992</v>
      </c>
      <c r="AC900" t="s">
        <v>74</v>
      </c>
      <c r="AD900" t="s">
        <v>74</v>
      </c>
      <c r="AE900" t="s">
        <v>74</v>
      </c>
      <c r="AF900" t="s">
        <v>74</v>
      </c>
      <c r="AG900">
        <v>24</v>
      </c>
      <c r="AH900">
        <v>8</v>
      </c>
      <c r="AI900">
        <v>8</v>
      </c>
      <c r="AJ900">
        <v>0</v>
      </c>
      <c r="AK900">
        <v>1</v>
      </c>
      <c r="AL900" t="s">
        <v>3565</v>
      </c>
      <c r="AM900" t="s">
        <v>162</v>
      </c>
      <c r="AN900" t="s">
        <v>3566</v>
      </c>
      <c r="AO900" t="s">
        <v>3567</v>
      </c>
      <c r="AP900" t="s">
        <v>74</v>
      </c>
      <c r="AQ900" t="s">
        <v>74</v>
      </c>
      <c r="AR900" t="s">
        <v>3568</v>
      </c>
      <c r="AS900" t="s">
        <v>3569</v>
      </c>
      <c r="AT900" t="s">
        <v>12245</v>
      </c>
      <c r="AU900">
        <v>2001</v>
      </c>
      <c r="AV900">
        <v>114</v>
      </c>
      <c r="AW900">
        <v>4</v>
      </c>
      <c r="AX900" t="s">
        <v>74</v>
      </c>
      <c r="AY900" t="s">
        <v>74</v>
      </c>
      <c r="AZ900" t="s">
        <v>74</v>
      </c>
      <c r="BA900" t="s">
        <v>74</v>
      </c>
      <c r="BB900">
        <v>907</v>
      </c>
      <c r="BC900">
        <v>917</v>
      </c>
      <c r="BD900" t="s">
        <v>74</v>
      </c>
      <c r="BE900" t="s">
        <v>74</v>
      </c>
      <c r="BF900" t="s">
        <v>74</v>
      </c>
      <c r="BG900" t="s">
        <v>74</v>
      </c>
      <c r="BH900" t="s">
        <v>74</v>
      </c>
      <c r="BI900">
        <v>11</v>
      </c>
      <c r="BJ900" t="s">
        <v>1814</v>
      </c>
      <c r="BK900" t="s">
        <v>170</v>
      </c>
      <c r="BL900" t="s">
        <v>1815</v>
      </c>
      <c r="BM900" t="s">
        <v>12246</v>
      </c>
      <c r="BN900" t="s">
        <v>74</v>
      </c>
      <c r="BO900" t="s">
        <v>74</v>
      </c>
      <c r="BP900" t="s">
        <v>74</v>
      </c>
      <c r="BQ900" t="s">
        <v>74</v>
      </c>
      <c r="BR900" t="s">
        <v>107</v>
      </c>
      <c r="BS900" t="s">
        <v>12255</v>
      </c>
      <c r="BT900" t="str">
        <f>HYPERLINK("https%3A%2F%2Fwww.webofscience.com%2Fwos%2Fwoscc%2Ffull-record%2FWOS:000172948000008","View Full Record in Web of Science")</f>
        <v>View Full Record in Web of Science</v>
      </c>
    </row>
    <row r="901" spans="1:72" x14ac:dyDescent="0.15">
      <c r="A901" t="s">
        <v>72</v>
      </c>
      <c r="B901" t="s">
        <v>12256</v>
      </c>
      <c r="C901" t="s">
        <v>74</v>
      </c>
      <c r="D901" t="s">
        <v>74</v>
      </c>
      <c r="E901" t="s">
        <v>74</v>
      </c>
      <c r="F901" t="s">
        <v>12256</v>
      </c>
      <c r="G901" t="s">
        <v>74</v>
      </c>
      <c r="H901" t="s">
        <v>74</v>
      </c>
      <c r="I901" t="s">
        <v>12257</v>
      </c>
      <c r="J901" t="s">
        <v>1471</v>
      </c>
      <c r="K901" t="s">
        <v>74</v>
      </c>
      <c r="L901" t="s">
        <v>74</v>
      </c>
      <c r="M901" t="s">
        <v>77</v>
      </c>
      <c r="N901" t="s">
        <v>153</v>
      </c>
      <c r="O901" t="s">
        <v>74</v>
      </c>
      <c r="P901" t="s">
        <v>74</v>
      </c>
      <c r="Q901" t="s">
        <v>74</v>
      </c>
      <c r="R901" t="s">
        <v>74</v>
      </c>
      <c r="S901" t="s">
        <v>74</v>
      </c>
      <c r="T901" t="s">
        <v>74</v>
      </c>
      <c r="U901" t="s">
        <v>12258</v>
      </c>
      <c r="V901" t="s">
        <v>12259</v>
      </c>
      <c r="W901" t="s">
        <v>12260</v>
      </c>
      <c r="X901" t="s">
        <v>2110</v>
      </c>
      <c r="Y901" t="s">
        <v>12261</v>
      </c>
      <c r="Z901" t="s">
        <v>12262</v>
      </c>
      <c r="AA901" t="s">
        <v>12263</v>
      </c>
      <c r="AB901" t="s">
        <v>12264</v>
      </c>
      <c r="AC901" t="s">
        <v>74</v>
      </c>
      <c r="AD901" t="s">
        <v>74</v>
      </c>
      <c r="AE901" t="s">
        <v>74</v>
      </c>
      <c r="AF901" t="s">
        <v>74</v>
      </c>
      <c r="AG901">
        <v>30</v>
      </c>
      <c r="AH901">
        <v>34</v>
      </c>
      <c r="AI901">
        <v>37</v>
      </c>
      <c r="AJ901">
        <v>0</v>
      </c>
      <c r="AK901">
        <v>18</v>
      </c>
      <c r="AL901" t="s">
        <v>161</v>
      </c>
      <c r="AM901" t="s">
        <v>162</v>
      </c>
      <c r="AN901" t="s">
        <v>163</v>
      </c>
      <c r="AO901" t="s">
        <v>1518</v>
      </c>
      <c r="AP901" t="s">
        <v>1519</v>
      </c>
      <c r="AQ901" t="s">
        <v>74</v>
      </c>
      <c r="AR901" t="s">
        <v>1480</v>
      </c>
      <c r="AS901" t="s">
        <v>1481</v>
      </c>
      <c r="AT901" t="s">
        <v>12265</v>
      </c>
      <c r="AU901">
        <v>2001</v>
      </c>
      <c r="AV901">
        <v>106</v>
      </c>
      <c r="AW901" t="s">
        <v>12266</v>
      </c>
      <c r="AX901" t="s">
        <v>74</v>
      </c>
      <c r="AY901" t="s">
        <v>74</v>
      </c>
      <c r="AZ901" t="s">
        <v>74</v>
      </c>
      <c r="BA901" t="s">
        <v>74</v>
      </c>
      <c r="BB901">
        <v>31739</v>
      </c>
      <c r="BC901">
        <v>31748</v>
      </c>
      <c r="BD901" t="s">
        <v>74</v>
      </c>
      <c r="BE901" t="s">
        <v>12267</v>
      </c>
      <c r="BF901" t="str">
        <f>HYPERLINK("http://dx.doi.org/10.1029/2000JD000107","http://dx.doi.org/10.1029/2000JD000107")</f>
        <v>http://dx.doi.org/10.1029/2000JD000107</v>
      </c>
      <c r="BG901" t="s">
        <v>74</v>
      </c>
      <c r="BH901" t="s">
        <v>74</v>
      </c>
      <c r="BI901">
        <v>10</v>
      </c>
      <c r="BJ901" t="s">
        <v>403</v>
      </c>
      <c r="BK901" t="s">
        <v>170</v>
      </c>
      <c r="BL901" t="s">
        <v>403</v>
      </c>
      <c r="BM901" t="s">
        <v>12268</v>
      </c>
      <c r="BN901" t="s">
        <v>74</v>
      </c>
      <c r="BO901" t="s">
        <v>173</v>
      </c>
      <c r="BP901" t="s">
        <v>74</v>
      </c>
      <c r="BQ901" t="s">
        <v>74</v>
      </c>
      <c r="BR901" t="s">
        <v>107</v>
      </c>
      <c r="BS901" t="s">
        <v>12269</v>
      </c>
      <c r="BT901" t="str">
        <f>HYPERLINK("https%3A%2F%2Fwww.webofscience.com%2Fwos%2Fwoscc%2Ffull-record%2FWOS:000173479100006","View Full Record in Web of Science")</f>
        <v>View Full Record in Web of Science</v>
      </c>
    </row>
    <row r="902" spans="1:72" x14ac:dyDescent="0.15">
      <c r="A902" t="s">
        <v>72</v>
      </c>
      <c r="B902" t="s">
        <v>12270</v>
      </c>
      <c r="C902" t="s">
        <v>74</v>
      </c>
      <c r="D902" t="s">
        <v>74</v>
      </c>
      <c r="E902" t="s">
        <v>74</v>
      </c>
      <c r="F902" t="s">
        <v>12270</v>
      </c>
      <c r="G902" t="s">
        <v>74</v>
      </c>
      <c r="H902" t="s">
        <v>74</v>
      </c>
      <c r="I902" t="s">
        <v>12271</v>
      </c>
      <c r="J902" t="s">
        <v>1471</v>
      </c>
      <c r="K902" t="s">
        <v>74</v>
      </c>
      <c r="L902" t="s">
        <v>74</v>
      </c>
      <c r="M902" t="s">
        <v>77</v>
      </c>
      <c r="N902" t="s">
        <v>153</v>
      </c>
      <c r="O902" t="s">
        <v>74</v>
      </c>
      <c r="P902" t="s">
        <v>74</v>
      </c>
      <c r="Q902" t="s">
        <v>74</v>
      </c>
      <c r="R902" t="s">
        <v>74</v>
      </c>
      <c r="S902" t="s">
        <v>74</v>
      </c>
      <c r="T902" t="s">
        <v>74</v>
      </c>
      <c r="U902" t="s">
        <v>12272</v>
      </c>
      <c r="V902" t="s">
        <v>12273</v>
      </c>
      <c r="W902" t="s">
        <v>12274</v>
      </c>
      <c r="X902" t="s">
        <v>12275</v>
      </c>
      <c r="Y902" t="s">
        <v>12276</v>
      </c>
      <c r="Z902" t="s">
        <v>12277</v>
      </c>
      <c r="AA902" t="s">
        <v>12278</v>
      </c>
      <c r="AB902" t="s">
        <v>12279</v>
      </c>
      <c r="AC902" t="s">
        <v>74</v>
      </c>
      <c r="AD902" t="s">
        <v>74</v>
      </c>
      <c r="AE902" t="s">
        <v>74</v>
      </c>
      <c r="AF902" t="s">
        <v>74</v>
      </c>
      <c r="AG902">
        <v>61</v>
      </c>
      <c r="AH902">
        <v>57</v>
      </c>
      <c r="AI902">
        <v>64</v>
      </c>
      <c r="AJ902">
        <v>0</v>
      </c>
      <c r="AK902">
        <v>8</v>
      </c>
      <c r="AL902" t="s">
        <v>161</v>
      </c>
      <c r="AM902" t="s">
        <v>162</v>
      </c>
      <c r="AN902" t="s">
        <v>163</v>
      </c>
      <c r="AO902" t="s">
        <v>1518</v>
      </c>
      <c r="AP902" t="s">
        <v>1519</v>
      </c>
      <c r="AQ902" t="s">
        <v>74</v>
      </c>
      <c r="AR902" t="s">
        <v>1480</v>
      </c>
      <c r="AS902" t="s">
        <v>1481</v>
      </c>
      <c r="AT902" t="s">
        <v>12265</v>
      </c>
      <c r="AU902">
        <v>2001</v>
      </c>
      <c r="AV902">
        <v>106</v>
      </c>
      <c r="AW902" t="s">
        <v>12266</v>
      </c>
      <c r="AX902" t="s">
        <v>74</v>
      </c>
      <c r="AY902" t="s">
        <v>74</v>
      </c>
      <c r="AZ902" t="s">
        <v>74</v>
      </c>
      <c r="BA902" t="s">
        <v>74</v>
      </c>
      <c r="BB902">
        <v>31837</v>
      </c>
      <c r="BC902">
        <v>31851</v>
      </c>
      <c r="BD902" t="s">
        <v>74</v>
      </c>
      <c r="BE902" t="s">
        <v>12280</v>
      </c>
      <c r="BF902" t="str">
        <f>HYPERLINK("http://dx.doi.org/10.1029/2001JD900245","http://dx.doi.org/10.1029/2001JD900245")</f>
        <v>http://dx.doi.org/10.1029/2001JD900245</v>
      </c>
      <c r="BG902" t="s">
        <v>74</v>
      </c>
      <c r="BH902" t="s">
        <v>74</v>
      </c>
      <c r="BI902">
        <v>15</v>
      </c>
      <c r="BJ902" t="s">
        <v>403</v>
      </c>
      <c r="BK902" t="s">
        <v>170</v>
      </c>
      <c r="BL902" t="s">
        <v>403</v>
      </c>
      <c r="BM902" t="s">
        <v>12268</v>
      </c>
      <c r="BN902" t="s">
        <v>74</v>
      </c>
      <c r="BO902" t="s">
        <v>7476</v>
      </c>
      <c r="BP902" t="s">
        <v>74</v>
      </c>
      <c r="BQ902" t="s">
        <v>74</v>
      </c>
      <c r="BR902" t="s">
        <v>107</v>
      </c>
      <c r="BS902" t="s">
        <v>12281</v>
      </c>
      <c r="BT902" t="str">
        <f>HYPERLINK("https%3A%2F%2Fwww.webofscience.com%2Fwos%2Fwoscc%2Ffull-record%2FWOS:000173479100015","View Full Record in Web of Science")</f>
        <v>View Full Record in Web of Science</v>
      </c>
    </row>
    <row r="903" spans="1:72" x14ac:dyDescent="0.15">
      <c r="A903" t="s">
        <v>72</v>
      </c>
      <c r="B903" t="s">
        <v>12282</v>
      </c>
      <c r="C903" t="s">
        <v>74</v>
      </c>
      <c r="D903" t="s">
        <v>74</v>
      </c>
      <c r="E903" t="s">
        <v>74</v>
      </c>
      <c r="F903" t="s">
        <v>12282</v>
      </c>
      <c r="G903" t="s">
        <v>74</v>
      </c>
      <c r="H903" t="s">
        <v>74</v>
      </c>
      <c r="I903" t="s">
        <v>12283</v>
      </c>
      <c r="J903" t="s">
        <v>1471</v>
      </c>
      <c r="K903" t="s">
        <v>74</v>
      </c>
      <c r="L903" t="s">
        <v>74</v>
      </c>
      <c r="M903" t="s">
        <v>77</v>
      </c>
      <c r="N903" t="s">
        <v>153</v>
      </c>
      <c r="O903" t="s">
        <v>74</v>
      </c>
      <c r="P903" t="s">
        <v>74</v>
      </c>
      <c r="Q903" t="s">
        <v>74</v>
      </c>
      <c r="R903" t="s">
        <v>74</v>
      </c>
      <c r="S903" t="s">
        <v>74</v>
      </c>
      <c r="T903" t="s">
        <v>74</v>
      </c>
      <c r="U903" t="s">
        <v>12284</v>
      </c>
      <c r="V903" t="s">
        <v>12285</v>
      </c>
      <c r="W903" t="s">
        <v>12286</v>
      </c>
      <c r="X903" t="s">
        <v>6095</v>
      </c>
      <c r="Y903" t="s">
        <v>12287</v>
      </c>
      <c r="Z903" t="s">
        <v>12288</v>
      </c>
      <c r="AA903" t="s">
        <v>74</v>
      </c>
      <c r="AB903" t="s">
        <v>74</v>
      </c>
      <c r="AC903" t="s">
        <v>74</v>
      </c>
      <c r="AD903" t="s">
        <v>74</v>
      </c>
      <c r="AE903" t="s">
        <v>74</v>
      </c>
      <c r="AF903" t="s">
        <v>74</v>
      </c>
      <c r="AG903">
        <v>60</v>
      </c>
      <c r="AH903">
        <v>9</v>
      </c>
      <c r="AI903">
        <v>9</v>
      </c>
      <c r="AJ903">
        <v>0</v>
      </c>
      <c r="AK903">
        <v>6</v>
      </c>
      <c r="AL903" t="s">
        <v>161</v>
      </c>
      <c r="AM903" t="s">
        <v>162</v>
      </c>
      <c r="AN903" t="s">
        <v>163</v>
      </c>
      <c r="AO903" t="s">
        <v>1518</v>
      </c>
      <c r="AP903" t="s">
        <v>1519</v>
      </c>
      <c r="AQ903" t="s">
        <v>74</v>
      </c>
      <c r="AR903" t="s">
        <v>1480</v>
      </c>
      <c r="AS903" t="s">
        <v>1481</v>
      </c>
      <c r="AT903" t="s">
        <v>12265</v>
      </c>
      <c r="AU903">
        <v>2001</v>
      </c>
      <c r="AV903">
        <v>106</v>
      </c>
      <c r="AW903" t="s">
        <v>12266</v>
      </c>
      <c r="AX903" t="s">
        <v>74</v>
      </c>
      <c r="AY903" t="s">
        <v>74</v>
      </c>
      <c r="AZ903" t="s">
        <v>74</v>
      </c>
      <c r="BA903" t="s">
        <v>74</v>
      </c>
      <c r="BB903">
        <v>31853</v>
      </c>
      <c r="BC903">
        <v>31861</v>
      </c>
      <c r="BD903" t="s">
        <v>74</v>
      </c>
      <c r="BE903" t="s">
        <v>12289</v>
      </c>
      <c r="BF903" t="str">
        <f>HYPERLINK("http://dx.doi.org/10.1029/2001JD900065","http://dx.doi.org/10.1029/2001JD900065")</f>
        <v>http://dx.doi.org/10.1029/2001JD900065</v>
      </c>
      <c r="BG903" t="s">
        <v>74</v>
      </c>
      <c r="BH903" t="s">
        <v>74</v>
      </c>
      <c r="BI903">
        <v>9</v>
      </c>
      <c r="BJ903" t="s">
        <v>403</v>
      </c>
      <c r="BK903" t="s">
        <v>170</v>
      </c>
      <c r="BL903" t="s">
        <v>403</v>
      </c>
      <c r="BM903" t="s">
        <v>12268</v>
      </c>
      <c r="BN903" t="s">
        <v>74</v>
      </c>
      <c r="BO903" t="s">
        <v>173</v>
      </c>
      <c r="BP903" t="s">
        <v>74</v>
      </c>
      <c r="BQ903" t="s">
        <v>74</v>
      </c>
      <c r="BR903" t="s">
        <v>107</v>
      </c>
      <c r="BS903" t="s">
        <v>12290</v>
      </c>
      <c r="BT903" t="str">
        <f>HYPERLINK("https%3A%2F%2Fwww.webofscience.com%2Fwos%2Fwoscc%2Ffull-record%2FWOS:000173479100016","View Full Record in Web of Science")</f>
        <v>View Full Record in Web of Science</v>
      </c>
    </row>
    <row r="904" spans="1:72" x14ac:dyDescent="0.15">
      <c r="A904" t="s">
        <v>72</v>
      </c>
      <c r="B904" t="s">
        <v>12291</v>
      </c>
      <c r="C904" t="s">
        <v>74</v>
      </c>
      <c r="D904" t="s">
        <v>74</v>
      </c>
      <c r="E904" t="s">
        <v>74</v>
      </c>
      <c r="F904" t="s">
        <v>12291</v>
      </c>
      <c r="G904" t="s">
        <v>74</v>
      </c>
      <c r="H904" t="s">
        <v>74</v>
      </c>
      <c r="I904" t="s">
        <v>12292</v>
      </c>
      <c r="J904" t="s">
        <v>1471</v>
      </c>
      <c r="K904" t="s">
        <v>74</v>
      </c>
      <c r="L904" t="s">
        <v>74</v>
      </c>
      <c r="M904" t="s">
        <v>77</v>
      </c>
      <c r="N904" t="s">
        <v>153</v>
      </c>
      <c r="O904" t="s">
        <v>74</v>
      </c>
      <c r="P904" t="s">
        <v>74</v>
      </c>
      <c r="Q904" t="s">
        <v>74</v>
      </c>
      <c r="R904" t="s">
        <v>74</v>
      </c>
      <c r="S904" t="s">
        <v>74</v>
      </c>
      <c r="T904" t="s">
        <v>74</v>
      </c>
      <c r="U904" t="s">
        <v>12293</v>
      </c>
      <c r="V904" t="s">
        <v>12294</v>
      </c>
      <c r="W904" t="s">
        <v>12295</v>
      </c>
      <c r="X904" t="s">
        <v>74</v>
      </c>
      <c r="Y904" t="s">
        <v>12296</v>
      </c>
      <c r="Z904" t="s">
        <v>12297</v>
      </c>
      <c r="AA904" t="s">
        <v>12298</v>
      </c>
      <c r="AB904" t="s">
        <v>12299</v>
      </c>
      <c r="AC904" t="s">
        <v>74</v>
      </c>
      <c r="AD904" t="s">
        <v>74</v>
      </c>
      <c r="AE904" t="s">
        <v>74</v>
      </c>
      <c r="AF904" t="s">
        <v>74</v>
      </c>
      <c r="AG904">
        <v>32</v>
      </c>
      <c r="AH904">
        <v>53</v>
      </c>
      <c r="AI904">
        <v>59</v>
      </c>
      <c r="AJ904">
        <v>0</v>
      </c>
      <c r="AK904">
        <v>15</v>
      </c>
      <c r="AL904" t="s">
        <v>161</v>
      </c>
      <c r="AM904" t="s">
        <v>162</v>
      </c>
      <c r="AN904" t="s">
        <v>163</v>
      </c>
      <c r="AO904" t="s">
        <v>1518</v>
      </c>
      <c r="AP904" t="s">
        <v>74</v>
      </c>
      <c r="AQ904" t="s">
        <v>74</v>
      </c>
      <c r="AR904" t="s">
        <v>1480</v>
      </c>
      <c r="AS904" t="s">
        <v>1481</v>
      </c>
      <c r="AT904" t="s">
        <v>12265</v>
      </c>
      <c r="AU904">
        <v>2001</v>
      </c>
      <c r="AV904">
        <v>106</v>
      </c>
      <c r="AW904" t="s">
        <v>12266</v>
      </c>
      <c r="AX904" t="s">
        <v>74</v>
      </c>
      <c r="AY904" t="s">
        <v>74</v>
      </c>
      <c r="AZ904" t="s">
        <v>74</v>
      </c>
      <c r="BA904" t="s">
        <v>74</v>
      </c>
      <c r="BB904">
        <v>31885</v>
      </c>
      <c r="BC904">
        <v>31892</v>
      </c>
      <c r="BD904" t="s">
        <v>74</v>
      </c>
      <c r="BE904" t="s">
        <v>12300</v>
      </c>
      <c r="BF904" t="str">
        <f>HYPERLINK("http://dx.doi.org/10.1029/2001JD900117","http://dx.doi.org/10.1029/2001JD900117")</f>
        <v>http://dx.doi.org/10.1029/2001JD900117</v>
      </c>
      <c r="BG904" t="s">
        <v>74</v>
      </c>
      <c r="BH904" t="s">
        <v>74</v>
      </c>
      <c r="BI904">
        <v>8</v>
      </c>
      <c r="BJ904" t="s">
        <v>403</v>
      </c>
      <c r="BK904" t="s">
        <v>170</v>
      </c>
      <c r="BL904" t="s">
        <v>403</v>
      </c>
      <c r="BM904" t="s">
        <v>12268</v>
      </c>
      <c r="BN904" t="s">
        <v>74</v>
      </c>
      <c r="BO904" t="s">
        <v>74</v>
      </c>
      <c r="BP904" t="s">
        <v>74</v>
      </c>
      <c r="BQ904" t="s">
        <v>74</v>
      </c>
      <c r="BR904" t="s">
        <v>107</v>
      </c>
      <c r="BS904" t="s">
        <v>12301</v>
      </c>
      <c r="BT904" t="str">
        <f>HYPERLINK("https%3A%2F%2Fwww.webofscience.com%2Fwos%2Fwoscc%2Ffull-record%2FWOS:000173479100019","View Full Record in Web of Science")</f>
        <v>View Full Record in Web of Science</v>
      </c>
    </row>
    <row r="905" spans="1:72" x14ac:dyDescent="0.15">
      <c r="A905" t="s">
        <v>72</v>
      </c>
      <c r="B905" t="s">
        <v>12302</v>
      </c>
      <c r="C905" t="s">
        <v>74</v>
      </c>
      <c r="D905" t="s">
        <v>74</v>
      </c>
      <c r="E905" t="s">
        <v>74</v>
      </c>
      <c r="F905" t="s">
        <v>12302</v>
      </c>
      <c r="G905" t="s">
        <v>74</v>
      </c>
      <c r="H905" t="s">
        <v>74</v>
      </c>
      <c r="I905" t="s">
        <v>12303</v>
      </c>
      <c r="J905" t="s">
        <v>1471</v>
      </c>
      <c r="K905" t="s">
        <v>74</v>
      </c>
      <c r="L905" t="s">
        <v>74</v>
      </c>
      <c r="M905" t="s">
        <v>77</v>
      </c>
      <c r="N905" t="s">
        <v>153</v>
      </c>
      <c r="O905" t="s">
        <v>74</v>
      </c>
      <c r="P905" t="s">
        <v>74</v>
      </c>
      <c r="Q905" t="s">
        <v>74</v>
      </c>
      <c r="R905" t="s">
        <v>74</v>
      </c>
      <c r="S905" t="s">
        <v>74</v>
      </c>
      <c r="T905" t="s">
        <v>74</v>
      </c>
      <c r="U905" t="s">
        <v>12304</v>
      </c>
      <c r="V905" t="s">
        <v>12305</v>
      </c>
      <c r="W905" t="s">
        <v>12306</v>
      </c>
      <c r="X905" t="s">
        <v>12307</v>
      </c>
      <c r="Y905" t="s">
        <v>12308</v>
      </c>
      <c r="Z905" t="s">
        <v>12309</v>
      </c>
      <c r="AA905" t="s">
        <v>12310</v>
      </c>
      <c r="AB905" t="s">
        <v>12311</v>
      </c>
      <c r="AC905" t="s">
        <v>74</v>
      </c>
      <c r="AD905" t="s">
        <v>74</v>
      </c>
      <c r="AE905" t="s">
        <v>74</v>
      </c>
      <c r="AF905" t="s">
        <v>74</v>
      </c>
      <c r="AG905">
        <v>38</v>
      </c>
      <c r="AH905">
        <v>30</v>
      </c>
      <c r="AI905">
        <v>33</v>
      </c>
      <c r="AJ905">
        <v>0</v>
      </c>
      <c r="AK905">
        <v>9</v>
      </c>
      <c r="AL905" t="s">
        <v>161</v>
      </c>
      <c r="AM905" t="s">
        <v>162</v>
      </c>
      <c r="AN905" t="s">
        <v>163</v>
      </c>
      <c r="AO905" t="s">
        <v>1518</v>
      </c>
      <c r="AP905" t="s">
        <v>1519</v>
      </c>
      <c r="AQ905" t="s">
        <v>74</v>
      </c>
      <c r="AR905" t="s">
        <v>1480</v>
      </c>
      <c r="AS905" t="s">
        <v>1481</v>
      </c>
      <c r="AT905" t="s">
        <v>12265</v>
      </c>
      <c r="AU905">
        <v>2001</v>
      </c>
      <c r="AV905">
        <v>106</v>
      </c>
      <c r="AW905" t="s">
        <v>12266</v>
      </c>
      <c r="AX905" t="s">
        <v>74</v>
      </c>
      <c r="AY905" t="s">
        <v>74</v>
      </c>
      <c r="AZ905" t="s">
        <v>74</v>
      </c>
      <c r="BA905" t="s">
        <v>74</v>
      </c>
      <c r="BB905">
        <v>31893</v>
      </c>
      <c r="BC905">
        <v>31901</v>
      </c>
      <c r="BD905" t="s">
        <v>74</v>
      </c>
      <c r="BE905" t="s">
        <v>12312</v>
      </c>
      <c r="BF905" t="str">
        <f>HYPERLINK("http://dx.doi.org/10.1029/2001JD900145","http://dx.doi.org/10.1029/2001JD900145")</f>
        <v>http://dx.doi.org/10.1029/2001JD900145</v>
      </c>
      <c r="BG905" t="s">
        <v>74</v>
      </c>
      <c r="BH905" t="s">
        <v>74</v>
      </c>
      <c r="BI905">
        <v>9</v>
      </c>
      <c r="BJ905" t="s">
        <v>403</v>
      </c>
      <c r="BK905" t="s">
        <v>170</v>
      </c>
      <c r="BL905" t="s">
        <v>403</v>
      </c>
      <c r="BM905" t="s">
        <v>12268</v>
      </c>
      <c r="BN905" t="s">
        <v>74</v>
      </c>
      <c r="BO905" t="s">
        <v>2089</v>
      </c>
      <c r="BP905" t="s">
        <v>74</v>
      </c>
      <c r="BQ905" t="s">
        <v>74</v>
      </c>
      <c r="BR905" t="s">
        <v>107</v>
      </c>
      <c r="BS905" t="s">
        <v>12313</v>
      </c>
      <c r="BT905" t="str">
        <f>HYPERLINK("https%3A%2F%2Fwww.webofscience.com%2Fwos%2Fwoscc%2Ffull-record%2FWOS:000173479100020","View Full Record in Web of Science")</f>
        <v>View Full Record in Web of Science</v>
      </c>
    </row>
    <row r="906" spans="1:72" x14ac:dyDescent="0.15">
      <c r="A906" t="s">
        <v>72</v>
      </c>
      <c r="B906" t="s">
        <v>12314</v>
      </c>
      <c r="C906" t="s">
        <v>74</v>
      </c>
      <c r="D906" t="s">
        <v>74</v>
      </c>
      <c r="E906" t="s">
        <v>74</v>
      </c>
      <c r="F906" t="s">
        <v>12314</v>
      </c>
      <c r="G906" t="s">
        <v>74</v>
      </c>
      <c r="H906" t="s">
        <v>74</v>
      </c>
      <c r="I906" t="s">
        <v>12315</v>
      </c>
      <c r="J906" t="s">
        <v>1471</v>
      </c>
      <c r="K906" t="s">
        <v>74</v>
      </c>
      <c r="L906" t="s">
        <v>74</v>
      </c>
      <c r="M906" t="s">
        <v>77</v>
      </c>
      <c r="N906" t="s">
        <v>153</v>
      </c>
      <c r="O906" t="s">
        <v>74</v>
      </c>
      <c r="P906" t="s">
        <v>74</v>
      </c>
      <c r="Q906" t="s">
        <v>74</v>
      </c>
      <c r="R906" t="s">
        <v>74</v>
      </c>
      <c r="S906" t="s">
        <v>74</v>
      </c>
      <c r="T906" t="s">
        <v>74</v>
      </c>
      <c r="U906" t="s">
        <v>12316</v>
      </c>
      <c r="V906" t="s">
        <v>12317</v>
      </c>
      <c r="W906" t="s">
        <v>12318</v>
      </c>
      <c r="X906" t="s">
        <v>12319</v>
      </c>
      <c r="Y906" t="s">
        <v>12320</v>
      </c>
      <c r="Z906" t="s">
        <v>12321</v>
      </c>
      <c r="AA906" t="s">
        <v>12322</v>
      </c>
      <c r="AB906" t="s">
        <v>74</v>
      </c>
      <c r="AC906" t="s">
        <v>74</v>
      </c>
      <c r="AD906" t="s">
        <v>74</v>
      </c>
      <c r="AE906" t="s">
        <v>74</v>
      </c>
      <c r="AF906" t="s">
        <v>74</v>
      </c>
      <c r="AG906">
        <v>67</v>
      </c>
      <c r="AH906">
        <v>66</v>
      </c>
      <c r="AI906">
        <v>70</v>
      </c>
      <c r="AJ906">
        <v>0</v>
      </c>
      <c r="AK906">
        <v>18</v>
      </c>
      <c r="AL906" t="s">
        <v>161</v>
      </c>
      <c r="AM906" t="s">
        <v>162</v>
      </c>
      <c r="AN906" t="s">
        <v>163</v>
      </c>
      <c r="AO906" t="s">
        <v>1518</v>
      </c>
      <c r="AP906" t="s">
        <v>74</v>
      </c>
      <c r="AQ906" t="s">
        <v>74</v>
      </c>
      <c r="AR906" t="s">
        <v>1480</v>
      </c>
      <c r="AS906" t="s">
        <v>1481</v>
      </c>
      <c r="AT906" t="s">
        <v>12265</v>
      </c>
      <c r="AU906">
        <v>2001</v>
      </c>
      <c r="AV906">
        <v>106</v>
      </c>
      <c r="AW906" t="s">
        <v>12266</v>
      </c>
      <c r="AX906" t="s">
        <v>74</v>
      </c>
      <c r="AY906" t="s">
        <v>74</v>
      </c>
      <c r="AZ906" t="s">
        <v>74</v>
      </c>
      <c r="BA906" t="s">
        <v>74</v>
      </c>
      <c r="BB906">
        <v>31915</v>
      </c>
      <c r="BC906">
        <v>31931</v>
      </c>
      <c r="BD906" t="s">
        <v>74</v>
      </c>
      <c r="BE906" t="s">
        <v>12323</v>
      </c>
      <c r="BF906" t="str">
        <f>HYPERLINK("http://dx.doi.org/10.1029/2000JD000102","http://dx.doi.org/10.1029/2000JD000102")</f>
        <v>http://dx.doi.org/10.1029/2000JD000102</v>
      </c>
      <c r="BG906" t="s">
        <v>74</v>
      </c>
      <c r="BH906" t="s">
        <v>74</v>
      </c>
      <c r="BI906">
        <v>17</v>
      </c>
      <c r="BJ906" t="s">
        <v>403</v>
      </c>
      <c r="BK906" t="s">
        <v>170</v>
      </c>
      <c r="BL906" t="s">
        <v>403</v>
      </c>
      <c r="BM906" t="s">
        <v>12268</v>
      </c>
      <c r="BN906" t="s">
        <v>74</v>
      </c>
      <c r="BO906" t="s">
        <v>106</v>
      </c>
      <c r="BP906" t="s">
        <v>74</v>
      </c>
      <c r="BQ906" t="s">
        <v>74</v>
      </c>
      <c r="BR906" t="s">
        <v>107</v>
      </c>
      <c r="BS906" t="s">
        <v>12324</v>
      </c>
      <c r="BT906" t="str">
        <f>HYPERLINK("https%3A%2F%2Fwww.webofscience.com%2Fwos%2Fwoscc%2Ffull-record%2FWOS:000173479100022","View Full Record in Web of Science")</f>
        <v>View Full Record in Web of Science</v>
      </c>
    </row>
    <row r="907" spans="1:72" x14ac:dyDescent="0.15">
      <c r="A907" t="s">
        <v>72</v>
      </c>
      <c r="B907" t="s">
        <v>12325</v>
      </c>
      <c r="C907" t="s">
        <v>74</v>
      </c>
      <c r="D907" t="s">
        <v>74</v>
      </c>
      <c r="E907" t="s">
        <v>74</v>
      </c>
      <c r="F907" t="s">
        <v>12325</v>
      </c>
      <c r="G907" t="s">
        <v>74</v>
      </c>
      <c r="H907" t="s">
        <v>74</v>
      </c>
      <c r="I907" t="s">
        <v>12326</v>
      </c>
      <c r="J907" t="s">
        <v>1471</v>
      </c>
      <c r="K907" t="s">
        <v>74</v>
      </c>
      <c r="L907" t="s">
        <v>74</v>
      </c>
      <c r="M907" t="s">
        <v>77</v>
      </c>
      <c r="N907" t="s">
        <v>153</v>
      </c>
      <c r="O907" t="s">
        <v>74</v>
      </c>
      <c r="P907" t="s">
        <v>74</v>
      </c>
      <c r="Q907" t="s">
        <v>74</v>
      </c>
      <c r="R907" t="s">
        <v>74</v>
      </c>
      <c r="S907" t="s">
        <v>74</v>
      </c>
      <c r="T907" t="s">
        <v>74</v>
      </c>
      <c r="U907" t="s">
        <v>12327</v>
      </c>
      <c r="V907" t="s">
        <v>12328</v>
      </c>
      <c r="W907" t="s">
        <v>12329</v>
      </c>
      <c r="X907" t="s">
        <v>12330</v>
      </c>
      <c r="Y907" t="s">
        <v>12331</v>
      </c>
      <c r="Z907" t="s">
        <v>12332</v>
      </c>
      <c r="AA907" t="s">
        <v>12333</v>
      </c>
      <c r="AB907" t="s">
        <v>12334</v>
      </c>
      <c r="AC907" t="s">
        <v>74</v>
      </c>
      <c r="AD907" t="s">
        <v>74</v>
      </c>
      <c r="AE907" t="s">
        <v>74</v>
      </c>
      <c r="AF907" t="s">
        <v>74</v>
      </c>
      <c r="AG907">
        <v>29</v>
      </c>
      <c r="AH907">
        <v>15</v>
      </c>
      <c r="AI907">
        <v>15</v>
      </c>
      <c r="AJ907">
        <v>0</v>
      </c>
      <c r="AK907">
        <v>5</v>
      </c>
      <c r="AL907" t="s">
        <v>161</v>
      </c>
      <c r="AM907" t="s">
        <v>162</v>
      </c>
      <c r="AN907" t="s">
        <v>163</v>
      </c>
      <c r="AO907" t="s">
        <v>1518</v>
      </c>
      <c r="AP907" t="s">
        <v>74</v>
      </c>
      <c r="AQ907" t="s">
        <v>74</v>
      </c>
      <c r="AR907" t="s">
        <v>1480</v>
      </c>
      <c r="AS907" t="s">
        <v>1481</v>
      </c>
      <c r="AT907" t="s">
        <v>12265</v>
      </c>
      <c r="AU907">
        <v>2001</v>
      </c>
      <c r="AV907">
        <v>106</v>
      </c>
      <c r="AW907" t="s">
        <v>12266</v>
      </c>
      <c r="AX907" t="s">
        <v>74</v>
      </c>
      <c r="AY907" t="s">
        <v>74</v>
      </c>
      <c r="AZ907" t="s">
        <v>74</v>
      </c>
      <c r="BA907" t="s">
        <v>74</v>
      </c>
      <c r="BB907">
        <v>31933</v>
      </c>
      <c r="BC907">
        <v>31941</v>
      </c>
      <c r="BD907" t="s">
        <v>74</v>
      </c>
      <c r="BE907" t="s">
        <v>12335</v>
      </c>
      <c r="BF907" t="str">
        <f>HYPERLINK("http://dx.doi.org/10.1029/2001JD900086","http://dx.doi.org/10.1029/2001JD900086")</f>
        <v>http://dx.doi.org/10.1029/2001JD900086</v>
      </c>
      <c r="BG907" t="s">
        <v>74</v>
      </c>
      <c r="BH907" t="s">
        <v>74</v>
      </c>
      <c r="BI907">
        <v>9</v>
      </c>
      <c r="BJ907" t="s">
        <v>403</v>
      </c>
      <c r="BK907" t="s">
        <v>170</v>
      </c>
      <c r="BL907" t="s">
        <v>403</v>
      </c>
      <c r="BM907" t="s">
        <v>12268</v>
      </c>
      <c r="BN907" t="s">
        <v>74</v>
      </c>
      <c r="BO907" t="s">
        <v>1767</v>
      </c>
      <c r="BP907" t="s">
        <v>74</v>
      </c>
      <c r="BQ907" t="s">
        <v>74</v>
      </c>
      <c r="BR907" t="s">
        <v>107</v>
      </c>
      <c r="BS907" t="s">
        <v>12336</v>
      </c>
      <c r="BT907" t="str">
        <f>HYPERLINK("https%3A%2F%2Fwww.webofscience.com%2Fwos%2Fwoscc%2Ffull-record%2FWOS:000173479100023","View Full Record in Web of Science")</f>
        <v>View Full Record in Web of Science</v>
      </c>
    </row>
    <row r="908" spans="1:72" x14ac:dyDescent="0.15">
      <c r="A908" t="s">
        <v>72</v>
      </c>
      <c r="B908" t="s">
        <v>12337</v>
      </c>
      <c r="C908" t="s">
        <v>74</v>
      </c>
      <c r="D908" t="s">
        <v>74</v>
      </c>
      <c r="E908" t="s">
        <v>74</v>
      </c>
      <c r="F908" t="s">
        <v>12337</v>
      </c>
      <c r="G908" t="s">
        <v>74</v>
      </c>
      <c r="H908" t="s">
        <v>74</v>
      </c>
      <c r="I908" t="s">
        <v>12338</v>
      </c>
      <c r="J908" t="s">
        <v>1471</v>
      </c>
      <c r="K908" t="s">
        <v>74</v>
      </c>
      <c r="L908" t="s">
        <v>74</v>
      </c>
      <c r="M908" t="s">
        <v>77</v>
      </c>
      <c r="N908" t="s">
        <v>153</v>
      </c>
      <c r="O908" t="s">
        <v>74</v>
      </c>
      <c r="P908" t="s">
        <v>74</v>
      </c>
      <c r="Q908" t="s">
        <v>74</v>
      </c>
      <c r="R908" t="s">
        <v>74</v>
      </c>
      <c r="S908" t="s">
        <v>74</v>
      </c>
      <c r="T908" t="s">
        <v>74</v>
      </c>
      <c r="U908" t="s">
        <v>12339</v>
      </c>
      <c r="V908" t="s">
        <v>12340</v>
      </c>
      <c r="W908" t="s">
        <v>12341</v>
      </c>
      <c r="X908" t="s">
        <v>12342</v>
      </c>
      <c r="Y908" t="s">
        <v>12343</v>
      </c>
      <c r="Z908" t="s">
        <v>12344</v>
      </c>
      <c r="AA908" t="s">
        <v>74</v>
      </c>
      <c r="AB908" t="s">
        <v>12345</v>
      </c>
      <c r="AC908" t="s">
        <v>74</v>
      </c>
      <c r="AD908" t="s">
        <v>74</v>
      </c>
      <c r="AE908" t="s">
        <v>74</v>
      </c>
      <c r="AF908" t="s">
        <v>74</v>
      </c>
      <c r="AG908">
        <v>52</v>
      </c>
      <c r="AH908">
        <v>229</v>
      </c>
      <c r="AI908">
        <v>240</v>
      </c>
      <c r="AJ908">
        <v>0</v>
      </c>
      <c r="AK908">
        <v>16</v>
      </c>
      <c r="AL908" t="s">
        <v>161</v>
      </c>
      <c r="AM908" t="s">
        <v>162</v>
      </c>
      <c r="AN908" t="s">
        <v>163</v>
      </c>
      <c r="AO908" t="s">
        <v>1518</v>
      </c>
      <c r="AP908" t="s">
        <v>1519</v>
      </c>
      <c r="AQ908" t="s">
        <v>74</v>
      </c>
      <c r="AR908" t="s">
        <v>1480</v>
      </c>
      <c r="AS908" t="s">
        <v>1481</v>
      </c>
      <c r="AT908" t="s">
        <v>12265</v>
      </c>
      <c r="AU908">
        <v>2001</v>
      </c>
      <c r="AV908">
        <v>106</v>
      </c>
      <c r="AW908" t="s">
        <v>12266</v>
      </c>
      <c r="AX908" t="s">
        <v>74</v>
      </c>
      <c r="AY908" t="s">
        <v>74</v>
      </c>
      <c r="AZ908" t="s">
        <v>74</v>
      </c>
      <c r="BA908" t="s">
        <v>74</v>
      </c>
      <c r="BB908">
        <v>31943</v>
      </c>
      <c r="BC908">
        <v>31964</v>
      </c>
      <c r="BD908" t="s">
        <v>74</v>
      </c>
      <c r="BE908" t="s">
        <v>12346</v>
      </c>
      <c r="BF908" t="str">
        <f>HYPERLINK("http://dx.doi.org/10.1029/2001JD900232","http://dx.doi.org/10.1029/2001JD900232")</f>
        <v>http://dx.doi.org/10.1029/2001JD900232</v>
      </c>
      <c r="BG908" t="s">
        <v>74</v>
      </c>
      <c r="BH908" t="s">
        <v>74</v>
      </c>
      <c r="BI908">
        <v>22</v>
      </c>
      <c r="BJ908" t="s">
        <v>403</v>
      </c>
      <c r="BK908" t="s">
        <v>170</v>
      </c>
      <c r="BL908" t="s">
        <v>403</v>
      </c>
      <c r="BM908" t="s">
        <v>12268</v>
      </c>
      <c r="BN908" t="s">
        <v>74</v>
      </c>
      <c r="BO908" t="s">
        <v>173</v>
      </c>
      <c r="BP908" t="s">
        <v>74</v>
      </c>
      <c r="BQ908" t="s">
        <v>74</v>
      </c>
      <c r="BR908" t="s">
        <v>107</v>
      </c>
      <c r="BS908" t="s">
        <v>12347</v>
      </c>
      <c r="BT908" t="str">
        <f>HYPERLINK("https%3A%2F%2Fwww.webofscience.com%2Fwos%2Fwoscc%2Ffull-record%2FWOS:000173479100024","View Full Record in Web of Science")</f>
        <v>View Full Record in Web of Science</v>
      </c>
    </row>
    <row r="909" spans="1:72" x14ac:dyDescent="0.15">
      <c r="A909" t="s">
        <v>72</v>
      </c>
      <c r="B909" t="s">
        <v>12348</v>
      </c>
      <c r="C909" t="s">
        <v>74</v>
      </c>
      <c r="D909" t="s">
        <v>74</v>
      </c>
      <c r="E909" t="s">
        <v>74</v>
      </c>
      <c r="F909" t="s">
        <v>12348</v>
      </c>
      <c r="G909" t="s">
        <v>74</v>
      </c>
      <c r="H909" t="s">
        <v>74</v>
      </c>
      <c r="I909" t="s">
        <v>12349</v>
      </c>
      <c r="J909" t="s">
        <v>1471</v>
      </c>
      <c r="K909" t="s">
        <v>74</v>
      </c>
      <c r="L909" t="s">
        <v>74</v>
      </c>
      <c r="M909" t="s">
        <v>77</v>
      </c>
      <c r="N909" t="s">
        <v>153</v>
      </c>
      <c r="O909" t="s">
        <v>74</v>
      </c>
      <c r="P909" t="s">
        <v>74</v>
      </c>
      <c r="Q909" t="s">
        <v>74</v>
      </c>
      <c r="R909" t="s">
        <v>74</v>
      </c>
      <c r="S909" t="s">
        <v>74</v>
      </c>
      <c r="T909" t="s">
        <v>74</v>
      </c>
      <c r="U909" t="s">
        <v>12350</v>
      </c>
      <c r="V909" t="s">
        <v>12351</v>
      </c>
      <c r="W909" t="s">
        <v>12352</v>
      </c>
      <c r="X909" t="s">
        <v>12353</v>
      </c>
      <c r="Y909" t="s">
        <v>12354</v>
      </c>
      <c r="Z909" t="s">
        <v>12355</v>
      </c>
      <c r="AA909" t="s">
        <v>12356</v>
      </c>
      <c r="AB909" t="s">
        <v>12357</v>
      </c>
      <c r="AC909" t="s">
        <v>74</v>
      </c>
      <c r="AD909" t="s">
        <v>74</v>
      </c>
      <c r="AE909" t="s">
        <v>74</v>
      </c>
      <c r="AF909" t="s">
        <v>74</v>
      </c>
      <c r="AG909">
        <v>46</v>
      </c>
      <c r="AH909">
        <v>12</v>
      </c>
      <c r="AI909">
        <v>13</v>
      </c>
      <c r="AJ909">
        <v>1</v>
      </c>
      <c r="AK909">
        <v>13</v>
      </c>
      <c r="AL909" t="s">
        <v>161</v>
      </c>
      <c r="AM909" t="s">
        <v>162</v>
      </c>
      <c r="AN909" t="s">
        <v>163</v>
      </c>
      <c r="AO909" t="s">
        <v>1518</v>
      </c>
      <c r="AP909" t="s">
        <v>1519</v>
      </c>
      <c r="AQ909" t="s">
        <v>74</v>
      </c>
      <c r="AR909" t="s">
        <v>1480</v>
      </c>
      <c r="AS909" t="s">
        <v>1481</v>
      </c>
      <c r="AT909" t="s">
        <v>12265</v>
      </c>
      <c r="AU909">
        <v>2001</v>
      </c>
      <c r="AV909">
        <v>106</v>
      </c>
      <c r="AW909" t="s">
        <v>12266</v>
      </c>
      <c r="AX909" t="s">
        <v>74</v>
      </c>
      <c r="AY909" t="s">
        <v>74</v>
      </c>
      <c r="AZ909" t="s">
        <v>74</v>
      </c>
      <c r="BA909" t="s">
        <v>74</v>
      </c>
      <c r="BB909">
        <v>32187</v>
      </c>
      <c r="BC909">
        <v>32205</v>
      </c>
      <c r="BD909" t="s">
        <v>74</v>
      </c>
      <c r="BE909" t="s">
        <v>12358</v>
      </c>
      <c r="BF909" t="str">
        <f>HYPERLINK("http://dx.doi.org/10.1029/2000JD900083","http://dx.doi.org/10.1029/2000JD900083")</f>
        <v>http://dx.doi.org/10.1029/2000JD900083</v>
      </c>
      <c r="BG909" t="s">
        <v>74</v>
      </c>
      <c r="BH909" t="s">
        <v>74</v>
      </c>
      <c r="BI909">
        <v>19</v>
      </c>
      <c r="BJ909" t="s">
        <v>403</v>
      </c>
      <c r="BK909" t="s">
        <v>170</v>
      </c>
      <c r="BL909" t="s">
        <v>403</v>
      </c>
      <c r="BM909" t="s">
        <v>12268</v>
      </c>
      <c r="BN909" t="s">
        <v>74</v>
      </c>
      <c r="BO909" t="s">
        <v>173</v>
      </c>
      <c r="BP909" t="s">
        <v>74</v>
      </c>
      <c r="BQ909" t="s">
        <v>74</v>
      </c>
      <c r="BR909" t="s">
        <v>107</v>
      </c>
      <c r="BS909" t="s">
        <v>12359</v>
      </c>
      <c r="BT909" t="str">
        <f>HYPERLINK("https%3A%2F%2Fwww.webofscience.com%2Fwos%2Fwoscc%2Ffull-record%2FWOS:000173479100041","View Full Record in Web of Science")</f>
        <v>View Full Record in Web of Science</v>
      </c>
    </row>
    <row r="910" spans="1:72" x14ac:dyDescent="0.15">
      <c r="A910" t="s">
        <v>72</v>
      </c>
      <c r="B910" t="s">
        <v>12360</v>
      </c>
      <c r="C910" t="s">
        <v>74</v>
      </c>
      <c r="D910" t="s">
        <v>74</v>
      </c>
      <c r="E910" t="s">
        <v>74</v>
      </c>
      <c r="F910" t="s">
        <v>12360</v>
      </c>
      <c r="G910" t="s">
        <v>74</v>
      </c>
      <c r="H910" t="s">
        <v>74</v>
      </c>
      <c r="I910" t="s">
        <v>12361</v>
      </c>
      <c r="J910" t="s">
        <v>1471</v>
      </c>
      <c r="K910" t="s">
        <v>74</v>
      </c>
      <c r="L910" t="s">
        <v>74</v>
      </c>
      <c r="M910" t="s">
        <v>77</v>
      </c>
      <c r="N910" t="s">
        <v>153</v>
      </c>
      <c r="O910" t="s">
        <v>74</v>
      </c>
      <c r="P910" t="s">
        <v>74</v>
      </c>
      <c r="Q910" t="s">
        <v>74</v>
      </c>
      <c r="R910" t="s">
        <v>74</v>
      </c>
      <c r="S910" t="s">
        <v>74</v>
      </c>
      <c r="T910" t="s">
        <v>74</v>
      </c>
      <c r="U910" t="s">
        <v>12362</v>
      </c>
      <c r="V910" t="s">
        <v>12363</v>
      </c>
      <c r="W910" t="s">
        <v>12364</v>
      </c>
      <c r="X910" t="s">
        <v>12365</v>
      </c>
      <c r="Y910" t="s">
        <v>12366</v>
      </c>
      <c r="Z910" t="s">
        <v>12367</v>
      </c>
      <c r="AA910" t="s">
        <v>12368</v>
      </c>
      <c r="AB910" t="s">
        <v>12369</v>
      </c>
      <c r="AC910" t="s">
        <v>74</v>
      </c>
      <c r="AD910" t="s">
        <v>74</v>
      </c>
      <c r="AE910" t="s">
        <v>74</v>
      </c>
      <c r="AF910" t="s">
        <v>74</v>
      </c>
      <c r="AG910">
        <v>44</v>
      </c>
      <c r="AH910">
        <v>48</v>
      </c>
      <c r="AI910">
        <v>52</v>
      </c>
      <c r="AJ910">
        <v>0</v>
      </c>
      <c r="AK910">
        <v>11</v>
      </c>
      <c r="AL910" t="s">
        <v>161</v>
      </c>
      <c r="AM910" t="s">
        <v>162</v>
      </c>
      <c r="AN910" t="s">
        <v>163</v>
      </c>
      <c r="AO910" t="s">
        <v>1518</v>
      </c>
      <c r="AP910" t="s">
        <v>1519</v>
      </c>
      <c r="AQ910" t="s">
        <v>74</v>
      </c>
      <c r="AR910" t="s">
        <v>1480</v>
      </c>
      <c r="AS910" t="s">
        <v>1481</v>
      </c>
      <c r="AT910" t="s">
        <v>12265</v>
      </c>
      <c r="AU910">
        <v>2001</v>
      </c>
      <c r="AV910">
        <v>106</v>
      </c>
      <c r="AW910" t="s">
        <v>12266</v>
      </c>
      <c r="AX910" t="s">
        <v>74</v>
      </c>
      <c r="AY910" t="s">
        <v>74</v>
      </c>
      <c r="AZ910" t="s">
        <v>74</v>
      </c>
      <c r="BA910" t="s">
        <v>74</v>
      </c>
      <c r="BB910">
        <v>32627</v>
      </c>
      <c r="BC910">
        <v>32644</v>
      </c>
      <c r="BD910" t="s">
        <v>74</v>
      </c>
      <c r="BE910" t="s">
        <v>12370</v>
      </c>
      <c r="BF910" t="str">
        <f>HYPERLINK("http://dx.doi.org/10.1029/2000JD900773","http://dx.doi.org/10.1029/2000JD900773")</f>
        <v>http://dx.doi.org/10.1029/2000JD900773</v>
      </c>
      <c r="BG910" t="s">
        <v>74</v>
      </c>
      <c r="BH910" t="s">
        <v>74</v>
      </c>
      <c r="BI910">
        <v>18</v>
      </c>
      <c r="BJ910" t="s">
        <v>403</v>
      </c>
      <c r="BK910" t="s">
        <v>170</v>
      </c>
      <c r="BL910" t="s">
        <v>403</v>
      </c>
      <c r="BM910" t="s">
        <v>12268</v>
      </c>
      <c r="BN910" t="s">
        <v>74</v>
      </c>
      <c r="BO910" t="s">
        <v>106</v>
      </c>
      <c r="BP910" t="s">
        <v>74</v>
      </c>
      <c r="BQ910" t="s">
        <v>74</v>
      </c>
      <c r="BR910" t="s">
        <v>107</v>
      </c>
      <c r="BS910" t="s">
        <v>12371</v>
      </c>
      <c r="BT910" t="str">
        <f>HYPERLINK("https%3A%2F%2Fwww.webofscience.com%2Fwos%2Fwoscc%2Ffull-record%2FWOS:000173479100065","View Full Record in Web of Science")</f>
        <v>View Full Record in Web of Science</v>
      </c>
    </row>
    <row r="911" spans="1:72" x14ac:dyDescent="0.15">
      <c r="A911" t="s">
        <v>72</v>
      </c>
      <c r="B911" t="s">
        <v>12372</v>
      </c>
      <c r="C911" t="s">
        <v>74</v>
      </c>
      <c r="D911" t="s">
        <v>74</v>
      </c>
      <c r="E911" t="s">
        <v>74</v>
      </c>
      <c r="F911" t="s">
        <v>12372</v>
      </c>
      <c r="G911" t="s">
        <v>74</v>
      </c>
      <c r="H911" t="s">
        <v>74</v>
      </c>
      <c r="I911" t="s">
        <v>12373</v>
      </c>
      <c r="J911" t="s">
        <v>539</v>
      </c>
      <c r="K911" t="s">
        <v>74</v>
      </c>
      <c r="L911" t="s">
        <v>74</v>
      </c>
      <c r="M911" t="s">
        <v>77</v>
      </c>
      <c r="N911" t="s">
        <v>153</v>
      </c>
      <c r="O911" t="s">
        <v>74</v>
      </c>
      <c r="P911" t="s">
        <v>74</v>
      </c>
      <c r="Q911" t="s">
        <v>74</v>
      </c>
      <c r="R911" t="s">
        <v>74</v>
      </c>
      <c r="S911" t="s">
        <v>74</v>
      </c>
      <c r="T911" t="s">
        <v>12374</v>
      </c>
      <c r="U911" t="s">
        <v>12375</v>
      </c>
      <c r="V911" t="s">
        <v>12376</v>
      </c>
      <c r="W911" t="s">
        <v>12377</v>
      </c>
      <c r="X911" t="s">
        <v>12378</v>
      </c>
      <c r="Y911" t="s">
        <v>12379</v>
      </c>
      <c r="Z911" t="s">
        <v>12380</v>
      </c>
      <c r="AA911" t="s">
        <v>74</v>
      </c>
      <c r="AB911" t="s">
        <v>12381</v>
      </c>
      <c r="AC911" t="s">
        <v>74</v>
      </c>
      <c r="AD911" t="s">
        <v>74</v>
      </c>
      <c r="AE911" t="s">
        <v>74</v>
      </c>
      <c r="AF911" t="s">
        <v>74</v>
      </c>
      <c r="AG911">
        <v>48</v>
      </c>
      <c r="AH911">
        <v>65</v>
      </c>
      <c r="AI911">
        <v>76</v>
      </c>
      <c r="AJ911">
        <v>5</v>
      </c>
      <c r="AK911">
        <v>26</v>
      </c>
      <c r="AL911" t="s">
        <v>90</v>
      </c>
      <c r="AM911" t="s">
        <v>91</v>
      </c>
      <c r="AN911" t="s">
        <v>92</v>
      </c>
      <c r="AO911" t="s">
        <v>549</v>
      </c>
      <c r="AP911" t="s">
        <v>550</v>
      </c>
      <c r="AQ911" t="s">
        <v>74</v>
      </c>
      <c r="AR911" t="s">
        <v>551</v>
      </c>
      <c r="AS911" t="s">
        <v>552</v>
      </c>
      <c r="AT911" t="s">
        <v>12382</v>
      </c>
      <c r="AU911">
        <v>2001</v>
      </c>
      <c r="AV911">
        <v>193</v>
      </c>
      <c r="AW911" t="s">
        <v>436</v>
      </c>
      <c r="AX911" t="s">
        <v>74</v>
      </c>
      <c r="AY911" t="s">
        <v>74</v>
      </c>
      <c r="AZ911" t="s">
        <v>74</v>
      </c>
      <c r="BA911" t="s">
        <v>74</v>
      </c>
      <c r="BB911">
        <v>565</v>
      </c>
      <c r="BC911">
        <v>577</v>
      </c>
      <c r="BD911" t="s">
        <v>74</v>
      </c>
      <c r="BE911" t="s">
        <v>12383</v>
      </c>
      <c r="BF911" t="str">
        <f>HYPERLINK("http://dx.doi.org/10.1016/S0012-821X(01)00524-6","http://dx.doi.org/10.1016/S0012-821X(01)00524-6")</f>
        <v>http://dx.doi.org/10.1016/S0012-821X(01)00524-6</v>
      </c>
      <c r="BG911" t="s">
        <v>74</v>
      </c>
      <c r="BH911" t="s">
        <v>74</v>
      </c>
      <c r="BI911">
        <v>13</v>
      </c>
      <c r="BJ911" t="s">
        <v>556</v>
      </c>
      <c r="BK911" t="s">
        <v>170</v>
      </c>
      <c r="BL911" t="s">
        <v>556</v>
      </c>
      <c r="BM911" t="s">
        <v>12384</v>
      </c>
      <c r="BN911" t="s">
        <v>74</v>
      </c>
      <c r="BO911" t="s">
        <v>74</v>
      </c>
      <c r="BP911" t="s">
        <v>74</v>
      </c>
      <c r="BQ911" t="s">
        <v>74</v>
      </c>
      <c r="BR911" t="s">
        <v>107</v>
      </c>
      <c r="BS911" t="s">
        <v>12385</v>
      </c>
      <c r="BT911" t="str">
        <f>HYPERLINK("https%3A%2F%2Fwww.webofscience.com%2Fwos%2Fwoscc%2Ffull-record%2FWOS:000172954200025","View Full Record in Web of Science")</f>
        <v>View Full Record in Web of Science</v>
      </c>
    </row>
    <row r="912" spans="1:72" x14ac:dyDescent="0.15">
      <c r="A912" t="s">
        <v>72</v>
      </c>
      <c r="B912" t="s">
        <v>12386</v>
      </c>
      <c r="C912" t="s">
        <v>74</v>
      </c>
      <c r="D912" t="s">
        <v>74</v>
      </c>
      <c r="E912" t="s">
        <v>74</v>
      </c>
      <c r="F912" t="s">
        <v>12386</v>
      </c>
      <c r="G912" t="s">
        <v>74</v>
      </c>
      <c r="H912" t="s">
        <v>74</v>
      </c>
      <c r="I912" t="s">
        <v>12387</v>
      </c>
      <c r="J912" t="s">
        <v>539</v>
      </c>
      <c r="K912" t="s">
        <v>74</v>
      </c>
      <c r="L912" t="s">
        <v>74</v>
      </c>
      <c r="M912" t="s">
        <v>77</v>
      </c>
      <c r="N912" t="s">
        <v>153</v>
      </c>
      <c r="O912" t="s">
        <v>74</v>
      </c>
      <c r="P912" t="s">
        <v>74</v>
      </c>
      <c r="Q912" t="s">
        <v>74</v>
      </c>
      <c r="R912" t="s">
        <v>74</v>
      </c>
      <c r="S912" t="s">
        <v>74</v>
      </c>
      <c r="T912" t="s">
        <v>12388</v>
      </c>
      <c r="U912" t="s">
        <v>12389</v>
      </c>
      <c r="V912" t="s">
        <v>12390</v>
      </c>
      <c r="W912" t="s">
        <v>12391</v>
      </c>
      <c r="X912" t="s">
        <v>12392</v>
      </c>
      <c r="Y912" t="s">
        <v>12393</v>
      </c>
      <c r="Z912" t="s">
        <v>74</v>
      </c>
      <c r="AA912" t="s">
        <v>12394</v>
      </c>
      <c r="AB912" t="s">
        <v>12395</v>
      </c>
      <c r="AC912" t="s">
        <v>74</v>
      </c>
      <c r="AD912" t="s">
        <v>74</v>
      </c>
      <c r="AE912" t="s">
        <v>74</v>
      </c>
      <c r="AF912" t="s">
        <v>74</v>
      </c>
      <c r="AG912">
        <v>31</v>
      </c>
      <c r="AH912">
        <v>138</v>
      </c>
      <c r="AI912">
        <v>156</v>
      </c>
      <c r="AJ912">
        <v>0</v>
      </c>
      <c r="AK912">
        <v>23</v>
      </c>
      <c r="AL912" t="s">
        <v>132</v>
      </c>
      <c r="AM912" t="s">
        <v>91</v>
      </c>
      <c r="AN912" t="s">
        <v>133</v>
      </c>
      <c r="AO912" t="s">
        <v>549</v>
      </c>
      <c r="AP912" t="s">
        <v>74</v>
      </c>
      <c r="AQ912" t="s">
        <v>74</v>
      </c>
      <c r="AR912" t="s">
        <v>551</v>
      </c>
      <c r="AS912" t="s">
        <v>552</v>
      </c>
      <c r="AT912" t="s">
        <v>12382</v>
      </c>
      <c r="AU912">
        <v>2001</v>
      </c>
      <c r="AV912">
        <v>193</v>
      </c>
      <c r="AW912" t="s">
        <v>436</v>
      </c>
      <c r="AX912" t="s">
        <v>74</v>
      </c>
      <c r="AY912" t="s">
        <v>74</v>
      </c>
      <c r="AZ912" t="s">
        <v>74</v>
      </c>
      <c r="BA912" t="s">
        <v>74</v>
      </c>
      <c r="BB912">
        <v>579</v>
      </c>
      <c r="BC912">
        <v>587</v>
      </c>
      <c r="BD912" t="s">
        <v>74</v>
      </c>
      <c r="BE912" t="s">
        <v>12396</v>
      </c>
      <c r="BF912" t="str">
        <f>HYPERLINK("http://dx.doi.org/10.1016/S0012-821X(01)00515-5","http://dx.doi.org/10.1016/S0012-821X(01)00515-5")</f>
        <v>http://dx.doi.org/10.1016/S0012-821X(01)00515-5</v>
      </c>
      <c r="BG912" t="s">
        <v>74</v>
      </c>
      <c r="BH912" t="s">
        <v>74</v>
      </c>
      <c r="BI912">
        <v>9</v>
      </c>
      <c r="BJ912" t="s">
        <v>556</v>
      </c>
      <c r="BK912" t="s">
        <v>170</v>
      </c>
      <c r="BL912" t="s">
        <v>556</v>
      </c>
      <c r="BM912" t="s">
        <v>12384</v>
      </c>
      <c r="BN912" t="s">
        <v>74</v>
      </c>
      <c r="BO912" t="s">
        <v>74</v>
      </c>
      <c r="BP912" t="s">
        <v>74</v>
      </c>
      <c r="BQ912" t="s">
        <v>74</v>
      </c>
      <c r="BR912" t="s">
        <v>107</v>
      </c>
      <c r="BS912" t="s">
        <v>12397</v>
      </c>
      <c r="BT912" t="str">
        <f>HYPERLINK("https%3A%2F%2Fwww.webofscience.com%2Fwos%2Fwoscc%2Ffull-record%2FWOS:000172954200026","View Full Record in Web of Science")</f>
        <v>View Full Record in Web of Science</v>
      </c>
    </row>
    <row r="913" spans="1:72" x14ac:dyDescent="0.15">
      <c r="A913" t="s">
        <v>72</v>
      </c>
      <c r="B913" t="s">
        <v>12398</v>
      </c>
      <c r="C913" t="s">
        <v>74</v>
      </c>
      <c r="D913" t="s">
        <v>74</v>
      </c>
      <c r="E913" t="s">
        <v>74</v>
      </c>
      <c r="F913" t="s">
        <v>12398</v>
      </c>
      <c r="G913" t="s">
        <v>74</v>
      </c>
      <c r="H913" t="s">
        <v>74</v>
      </c>
      <c r="I913" t="s">
        <v>12399</v>
      </c>
      <c r="J913" t="s">
        <v>594</v>
      </c>
      <c r="K913" t="s">
        <v>74</v>
      </c>
      <c r="L913" t="s">
        <v>74</v>
      </c>
      <c r="M913" t="s">
        <v>77</v>
      </c>
      <c r="N913" t="s">
        <v>153</v>
      </c>
      <c r="O913" t="s">
        <v>74</v>
      </c>
      <c r="P913" t="s">
        <v>74</v>
      </c>
      <c r="Q913" t="s">
        <v>74</v>
      </c>
      <c r="R913" t="s">
        <v>74</v>
      </c>
      <c r="S913" t="s">
        <v>74</v>
      </c>
      <c r="T913" t="s">
        <v>74</v>
      </c>
      <c r="U913" t="s">
        <v>12400</v>
      </c>
      <c r="V913" t="s">
        <v>12401</v>
      </c>
      <c r="W913" t="s">
        <v>12402</v>
      </c>
      <c r="X913" t="s">
        <v>12403</v>
      </c>
      <c r="Y913" t="s">
        <v>12404</v>
      </c>
      <c r="Z913" t="s">
        <v>74</v>
      </c>
      <c r="AA913" t="s">
        <v>12405</v>
      </c>
      <c r="AB913" t="s">
        <v>12406</v>
      </c>
      <c r="AC913" t="s">
        <v>74</v>
      </c>
      <c r="AD913" t="s">
        <v>74</v>
      </c>
      <c r="AE913" t="s">
        <v>74</v>
      </c>
      <c r="AF913" t="s">
        <v>74</v>
      </c>
      <c r="AG913">
        <v>19</v>
      </c>
      <c r="AH913">
        <v>22</v>
      </c>
      <c r="AI913">
        <v>24</v>
      </c>
      <c r="AJ913">
        <v>0</v>
      </c>
      <c r="AK913">
        <v>7</v>
      </c>
      <c r="AL913" t="s">
        <v>161</v>
      </c>
      <c r="AM913" t="s">
        <v>162</v>
      </c>
      <c r="AN913" t="s">
        <v>163</v>
      </c>
      <c r="AO913" t="s">
        <v>602</v>
      </c>
      <c r="AP913" t="s">
        <v>74</v>
      </c>
      <c r="AQ913" t="s">
        <v>74</v>
      </c>
      <c r="AR913" t="s">
        <v>604</v>
      </c>
      <c r="AS913" t="s">
        <v>605</v>
      </c>
      <c r="AT913" t="s">
        <v>12382</v>
      </c>
      <c r="AU913">
        <v>2001</v>
      </c>
      <c r="AV913">
        <v>28</v>
      </c>
      <c r="AW913">
        <v>24</v>
      </c>
      <c r="AX913" t="s">
        <v>74</v>
      </c>
      <c r="AY913" t="s">
        <v>74</v>
      </c>
      <c r="AZ913" t="s">
        <v>74</v>
      </c>
      <c r="BA913" t="s">
        <v>74</v>
      </c>
      <c r="BB913">
        <v>4535</v>
      </c>
      <c r="BC913">
        <v>4538</v>
      </c>
      <c r="BD913" t="s">
        <v>74</v>
      </c>
      <c r="BE913" t="s">
        <v>12407</v>
      </c>
      <c r="BF913" t="str">
        <f>HYPERLINK("http://dx.doi.org/10.1029/2001GL013501","http://dx.doi.org/10.1029/2001GL013501")</f>
        <v>http://dx.doi.org/10.1029/2001GL013501</v>
      </c>
      <c r="BG913" t="s">
        <v>74</v>
      </c>
      <c r="BH913" t="s">
        <v>74</v>
      </c>
      <c r="BI913">
        <v>4</v>
      </c>
      <c r="BJ913" t="s">
        <v>608</v>
      </c>
      <c r="BK913" t="s">
        <v>170</v>
      </c>
      <c r="BL913" t="s">
        <v>439</v>
      </c>
      <c r="BM913" t="s">
        <v>12408</v>
      </c>
      <c r="BN913" t="s">
        <v>74</v>
      </c>
      <c r="BO913" t="s">
        <v>173</v>
      </c>
      <c r="BP913" t="s">
        <v>74</v>
      </c>
      <c r="BQ913" t="s">
        <v>74</v>
      </c>
      <c r="BR913" t="s">
        <v>107</v>
      </c>
      <c r="BS913" t="s">
        <v>12409</v>
      </c>
      <c r="BT913" t="str">
        <f>HYPERLINK("https%3A%2F%2Fwww.webofscience.com%2Fwos%2Fwoscc%2Ffull-record%2FWOS:000173025400007","View Full Record in Web of Science")</f>
        <v>View Full Record in Web of Science</v>
      </c>
    </row>
    <row r="914" spans="1:72" x14ac:dyDescent="0.15">
      <c r="A914" t="s">
        <v>72</v>
      </c>
      <c r="B914" t="s">
        <v>12410</v>
      </c>
      <c r="C914" t="s">
        <v>74</v>
      </c>
      <c r="D914" t="s">
        <v>74</v>
      </c>
      <c r="E914" t="s">
        <v>74</v>
      </c>
      <c r="F914" t="s">
        <v>12410</v>
      </c>
      <c r="G914" t="s">
        <v>74</v>
      </c>
      <c r="H914" t="s">
        <v>74</v>
      </c>
      <c r="I914" t="s">
        <v>12411</v>
      </c>
      <c r="J914" t="s">
        <v>594</v>
      </c>
      <c r="K914" t="s">
        <v>74</v>
      </c>
      <c r="L914" t="s">
        <v>74</v>
      </c>
      <c r="M914" t="s">
        <v>77</v>
      </c>
      <c r="N914" t="s">
        <v>153</v>
      </c>
      <c r="O914" t="s">
        <v>74</v>
      </c>
      <c r="P914" t="s">
        <v>74</v>
      </c>
      <c r="Q914" t="s">
        <v>74</v>
      </c>
      <c r="R914" t="s">
        <v>74</v>
      </c>
      <c r="S914" t="s">
        <v>74</v>
      </c>
      <c r="T914" t="s">
        <v>74</v>
      </c>
      <c r="U914" t="s">
        <v>12412</v>
      </c>
      <c r="V914" t="s">
        <v>12413</v>
      </c>
      <c r="W914" t="s">
        <v>12414</v>
      </c>
      <c r="X914" t="s">
        <v>6020</v>
      </c>
      <c r="Y914" t="s">
        <v>12415</v>
      </c>
      <c r="Z914" t="s">
        <v>74</v>
      </c>
      <c r="AA914" t="s">
        <v>3748</v>
      </c>
      <c r="AB914" t="s">
        <v>12416</v>
      </c>
      <c r="AC914" t="s">
        <v>74</v>
      </c>
      <c r="AD914" t="s">
        <v>74</v>
      </c>
      <c r="AE914" t="s">
        <v>74</v>
      </c>
      <c r="AF914" t="s">
        <v>74</v>
      </c>
      <c r="AG914">
        <v>22</v>
      </c>
      <c r="AH914">
        <v>25</v>
      </c>
      <c r="AI914">
        <v>27</v>
      </c>
      <c r="AJ914">
        <v>0</v>
      </c>
      <c r="AK914">
        <v>0</v>
      </c>
      <c r="AL914" t="s">
        <v>161</v>
      </c>
      <c r="AM914" t="s">
        <v>162</v>
      </c>
      <c r="AN914" t="s">
        <v>163</v>
      </c>
      <c r="AO914" t="s">
        <v>602</v>
      </c>
      <c r="AP914" t="s">
        <v>74</v>
      </c>
      <c r="AQ914" t="s">
        <v>74</v>
      </c>
      <c r="AR914" t="s">
        <v>604</v>
      </c>
      <c r="AS914" t="s">
        <v>605</v>
      </c>
      <c r="AT914" t="s">
        <v>12382</v>
      </c>
      <c r="AU914">
        <v>2001</v>
      </c>
      <c r="AV914">
        <v>28</v>
      </c>
      <c r="AW914">
        <v>24</v>
      </c>
      <c r="AX914" t="s">
        <v>74</v>
      </c>
      <c r="AY914" t="s">
        <v>74</v>
      </c>
      <c r="AZ914" t="s">
        <v>74</v>
      </c>
      <c r="BA914" t="s">
        <v>74</v>
      </c>
      <c r="BB914">
        <v>4623</v>
      </c>
      <c r="BC914">
        <v>4626</v>
      </c>
      <c r="BD914" t="s">
        <v>74</v>
      </c>
      <c r="BE914" t="s">
        <v>12417</v>
      </c>
      <c r="BF914" t="str">
        <f>HYPERLINK("http://dx.doi.org/10.1029/2001GL013804","http://dx.doi.org/10.1029/2001GL013804")</f>
        <v>http://dx.doi.org/10.1029/2001GL013804</v>
      </c>
      <c r="BG914" t="s">
        <v>74</v>
      </c>
      <c r="BH914" t="s">
        <v>74</v>
      </c>
      <c r="BI914">
        <v>4</v>
      </c>
      <c r="BJ914" t="s">
        <v>608</v>
      </c>
      <c r="BK914" t="s">
        <v>170</v>
      </c>
      <c r="BL914" t="s">
        <v>439</v>
      </c>
      <c r="BM914" t="s">
        <v>12408</v>
      </c>
      <c r="BN914" t="s">
        <v>74</v>
      </c>
      <c r="BO914" t="s">
        <v>74</v>
      </c>
      <c r="BP914" t="s">
        <v>74</v>
      </c>
      <c r="BQ914" t="s">
        <v>74</v>
      </c>
      <c r="BR914" t="s">
        <v>107</v>
      </c>
      <c r="BS914" t="s">
        <v>12418</v>
      </c>
      <c r="BT914" t="str">
        <f>HYPERLINK("https%3A%2F%2Fwww.webofscience.com%2Fwos%2Fwoscc%2Ffull-record%2FWOS:000173025400029","View Full Record in Web of Science")</f>
        <v>View Full Record in Web of Science</v>
      </c>
    </row>
    <row r="915" spans="1:72" x14ac:dyDescent="0.15">
      <c r="A915" t="s">
        <v>72</v>
      </c>
      <c r="B915" t="s">
        <v>12419</v>
      </c>
      <c r="C915" t="s">
        <v>74</v>
      </c>
      <c r="D915" t="s">
        <v>74</v>
      </c>
      <c r="E915" t="s">
        <v>74</v>
      </c>
      <c r="F915" t="s">
        <v>12419</v>
      </c>
      <c r="G915" t="s">
        <v>74</v>
      </c>
      <c r="H915" t="s">
        <v>74</v>
      </c>
      <c r="I915" t="s">
        <v>12420</v>
      </c>
      <c r="J915" t="s">
        <v>594</v>
      </c>
      <c r="K915" t="s">
        <v>74</v>
      </c>
      <c r="L915" t="s">
        <v>74</v>
      </c>
      <c r="M915" t="s">
        <v>77</v>
      </c>
      <c r="N915" t="s">
        <v>153</v>
      </c>
      <c r="O915" t="s">
        <v>74</v>
      </c>
      <c r="P915" t="s">
        <v>74</v>
      </c>
      <c r="Q915" t="s">
        <v>74</v>
      </c>
      <c r="R915" t="s">
        <v>74</v>
      </c>
      <c r="S915" t="s">
        <v>74</v>
      </c>
      <c r="T915" t="s">
        <v>74</v>
      </c>
      <c r="U915" t="s">
        <v>12421</v>
      </c>
      <c r="V915" t="s">
        <v>12422</v>
      </c>
      <c r="W915" t="s">
        <v>12423</v>
      </c>
      <c r="X915" t="s">
        <v>12424</v>
      </c>
      <c r="Y915" t="s">
        <v>12425</v>
      </c>
      <c r="Z915" t="s">
        <v>74</v>
      </c>
      <c r="AA915" t="s">
        <v>74</v>
      </c>
      <c r="AB915" t="s">
        <v>74</v>
      </c>
      <c r="AC915" t="s">
        <v>74</v>
      </c>
      <c r="AD915" t="s">
        <v>74</v>
      </c>
      <c r="AE915" t="s">
        <v>74</v>
      </c>
      <c r="AF915" t="s">
        <v>74</v>
      </c>
      <c r="AG915">
        <v>26</v>
      </c>
      <c r="AH915">
        <v>23</v>
      </c>
      <c r="AI915">
        <v>28</v>
      </c>
      <c r="AJ915">
        <v>1</v>
      </c>
      <c r="AK915">
        <v>10</v>
      </c>
      <c r="AL915" t="s">
        <v>161</v>
      </c>
      <c r="AM915" t="s">
        <v>162</v>
      </c>
      <c r="AN915" t="s">
        <v>163</v>
      </c>
      <c r="AO915" t="s">
        <v>602</v>
      </c>
      <c r="AP915" t="s">
        <v>74</v>
      </c>
      <c r="AQ915" t="s">
        <v>74</v>
      </c>
      <c r="AR915" t="s">
        <v>604</v>
      </c>
      <c r="AS915" t="s">
        <v>605</v>
      </c>
      <c r="AT915" t="s">
        <v>12382</v>
      </c>
      <c r="AU915">
        <v>2001</v>
      </c>
      <c r="AV915">
        <v>28</v>
      </c>
      <c r="AW915">
        <v>24</v>
      </c>
      <c r="AX915" t="s">
        <v>74</v>
      </c>
      <c r="AY915" t="s">
        <v>74</v>
      </c>
      <c r="AZ915" t="s">
        <v>74</v>
      </c>
      <c r="BA915" t="s">
        <v>74</v>
      </c>
      <c r="BB915">
        <v>4635</v>
      </c>
      <c r="BC915">
        <v>4638</v>
      </c>
      <c r="BD915" t="s">
        <v>74</v>
      </c>
      <c r="BE915" t="s">
        <v>12426</v>
      </c>
      <c r="BF915" t="str">
        <f>HYPERLINK("http://dx.doi.org/10.1029/2001GL013763","http://dx.doi.org/10.1029/2001GL013763")</f>
        <v>http://dx.doi.org/10.1029/2001GL013763</v>
      </c>
      <c r="BG915" t="s">
        <v>74</v>
      </c>
      <c r="BH915" t="s">
        <v>74</v>
      </c>
      <c r="BI915">
        <v>4</v>
      </c>
      <c r="BJ915" t="s">
        <v>608</v>
      </c>
      <c r="BK915" t="s">
        <v>170</v>
      </c>
      <c r="BL915" t="s">
        <v>439</v>
      </c>
      <c r="BM915" t="s">
        <v>12408</v>
      </c>
      <c r="BN915" t="s">
        <v>74</v>
      </c>
      <c r="BO915" t="s">
        <v>173</v>
      </c>
      <c r="BP915" t="s">
        <v>74</v>
      </c>
      <c r="BQ915" t="s">
        <v>74</v>
      </c>
      <c r="BR915" t="s">
        <v>107</v>
      </c>
      <c r="BS915" t="s">
        <v>12427</v>
      </c>
      <c r="BT915" t="str">
        <f>HYPERLINK("https%3A%2F%2Fwww.webofscience.com%2Fwos%2Fwoscc%2Ffull-record%2FWOS:000173025400032","View Full Record in Web of Science")</f>
        <v>View Full Record in Web of Science</v>
      </c>
    </row>
    <row r="916" spans="1:72" x14ac:dyDescent="0.15">
      <c r="A916" t="s">
        <v>72</v>
      </c>
      <c r="B916" t="s">
        <v>12428</v>
      </c>
      <c r="C916" t="s">
        <v>74</v>
      </c>
      <c r="D916" t="s">
        <v>74</v>
      </c>
      <c r="E916" t="s">
        <v>74</v>
      </c>
      <c r="F916" t="s">
        <v>12428</v>
      </c>
      <c r="G916" t="s">
        <v>74</v>
      </c>
      <c r="H916" t="s">
        <v>74</v>
      </c>
      <c r="I916" t="s">
        <v>12429</v>
      </c>
      <c r="J916" t="s">
        <v>1524</v>
      </c>
      <c r="K916" t="s">
        <v>74</v>
      </c>
      <c r="L916" t="s">
        <v>74</v>
      </c>
      <c r="M916" t="s">
        <v>77</v>
      </c>
      <c r="N916" t="s">
        <v>153</v>
      </c>
      <c r="O916" t="s">
        <v>74</v>
      </c>
      <c r="P916" t="s">
        <v>74</v>
      </c>
      <c r="Q916" t="s">
        <v>74</v>
      </c>
      <c r="R916" t="s">
        <v>74</v>
      </c>
      <c r="S916" t="s">
        <v>74</v>
      </c>
      <c r="T916" t="s">
        <v>74</v>
      </c>
      <c r="U916" t="s">
        <v>12430</v>
      </c>
      <c r="V916" t="s">
        <v>12431</v>
      </c>
      <c r="W916" t="s">
        <v>12432</v>
      </c>
      <c r="X916" t="s">
        <v>12433</v>
      </c>
      <c r="Y916" t="s">
        <v>7321</v>
      </c>
      <c r="Z916" t="s">
        <v>12434</v>
      </c>
      <c r="AA916" t="s">
        <v>12435</v>
      </c>
      <c r="AB916" t="s">
        <v>7202</v>
      </c>
      <c r="AC916" t="s">
        <v>74</v>
      </c>
      <c r="AD916" t="s">
        <v>74</v>
      </c>
      <c r="AE916" t="s">
        <v>74</v>
      </c>
      <c r="AF916" t="s">
        <v>74</v>
      </c>
      <c r="AG916">
        <v>47</v>
      </c>
      <c r="AH916">
        <v>66</v>
      </c>
      <c r="AI916">
        <v>74</v>
      </c>
      <c r="AJ916">
        <v>0</v>
      </c>
      <c r="AK916">
        <v>17</v>
      </c>
      <c r="AL916" t="s">
        <v>161</v>
      </c>
      <c r="AM916" t="s">
        <v>162</v>
      </c>
      <c r="AN916" t="s">
        <v>163</v>
      </c>
      <c r="AO916" t="s">
        <v>1533</v>
      </c>
      <c r="AP916" t="s">
        <v>1534</v>
      </c>
      <c r="AQ916" t="s">
        <v>74</v>
      </c>
      <c r="AR916" t="s">
        <v>1535</v>
      </c>
      <c r="AS916" t="s">
        <v>1536</v>
      </c>
      <c r="AT916" t="s">
        <v>12382</v>
      </c>
      <c r="AU916">
        <v>2001</v>
      </c>
      <c r="AV916">
        <v>106</v>
      </c>
      <c r="AW916" t="s">
        <v>12436</v>
      </c>
      <c r="AX916" t="s">
        <v>74</v>
      </c>
      <c r="AY916" t="s">
        <v>74</v>
      </c>
      <c r="AZ916" t="s">
        <v>74</v>
      </c>
      <c r="BA916" t="s">
        <v>74</v>
      </c>
      <c r="BB916">
        <v>31361</v>
      </c>
      <c r="BC916">
        <v>31385</v>
      </c>
      <c r="BD916" t="s">
        <v>74</v>
      </c>
      <c r="BE916" t="s">
        <v>12437</v>
      </c>
      <c r="BF916" t="str">
        <f>HYPERLINK("http://dx.doi.org/10.1029/2001JC000823","http://dx.doi.org/10.1029/2001JC000823")</f>
        <v>http://dx.doi.org/10.1029/2001JC000823</v>
      </c>
      <c r="BG916" t="s">
        <v>74</v>
      </c>
      <c r="BH916" t="s">
        <v>74</v>
      </c>
      <c r="BI916">
        <v>25</v>
      </c>
      <c r="BJ916" t="s">
        <v>1155</v>
      </c>
      <c r="BK916" t="s">
        <v>170</v>
      </c>
      <c r="BL916" t="s">
        <v>1155</v>
      </c>
      <c r="BM916" t="s">
        <v>12438</v>
      </c>
      <c r="BN916" t="s">
        <v>74</v>
      </c>
      <c r="BO916" t="s">
        <v>665</v>
      </c>
      <c r="BP916" t="s">
        <v>74</v>
      </c>
      <c r="BQ916" t="s">
        <v>74</v>
      </c>
      <c r="BR916" t="s">
        <v>107</v>
      </c>
      <c r="BS916" t="s">
        <v>12439</v>
      </c>
      <c r="BT916" t="str">
        <f>HYPERLINK("https%3A%2F%2Fwww.webofscience.com%2Fwos%2Fwoscc%2Ffull-record%2FWOS:000173402400031","View Full Record in Web of Science")</f>
        <v>View Full Record in Web of Science</v>
      </c>
    </row>
    <row r="917" spans="1:72" x14ac:dyDescent="0.15">
      <c r="A917" t="s">
        <v>72</v>
      </c>
      <c r="B917" t="s">
        <v>12440</v>
      </c>
      <c r="C917" t="s">
        <v>74</v>
      </c>
      <c r="D917" t="s">
        <v>74</v>
      </c>
      <c r="E917" t="s">
        <v>74</v>
      </c>
      <c r="F917" t="s">
        <v>12440</v>
      </c>
      <c r="G917" t="s">
        <v>74</v>
      </c>
      <c r="H917" t="s">
        <v>74</v>
      </c>
      <c r="I917" t="s">
        <v>12441</v>
      </c>
      <c r="J917" t="s">
        <v>1524</v>
      </c>
      <c r="K917" t="s">
        <v>74</v>
      </c>
      <c r="L917" t="s">
        <v>74</v>
      </c>
      <c r="M917" t="s">
        <v>77</v>
      </c>
      <c r="N917" t="s">
        <v>751</v>
      </c>
      <c r="O917" t="s">
        <v>74</v>
      </c>
      <c r="P917" t="s">
        <v>74</v>
      </c>
      <c r="Q917" t="s">
        <v>74</v>
      </c>
      <c r="R917" t="s">
        <v>74</v>
      </c>
      <c r="S917" t="s">
        <v>74</v>
      </c>
      <c r="T917" t="s">
        <v>74</v>
      </c>
      <c r="U917" t="s">
        <v>12442</v>
      </c>
      <c r="V917" t="s">
        <v>12443</v>
      </c>
      <c r="W917" t="s">
        <v>12444</v>
      </c>
      <c r="X917" t="s">
        <v>74</v>
      </c>
      <c r="Y917" t="s">
        <v>12445</v>
      </c>
      <c r="Z917" t="s">
        <v>12446</v>
      </c>
      <c r="AA917" t="s">
        <v>12447</v>
      </c>
      <c r="AB917" t="s">
        <v>12448</v>
      </c>
      <c r="AC917" t="s">
        <v>74</v>
      </c>
      <c r="AD917" t="s">
        <v>74</v>
      </c>
      <c r="AE917" t="s">
        <v>74</v>
      </c>
      <c r="AF917" t="s">
        <v>74</v>
      </c>
      <c r="AG917">
        <v>46</v>
      </c>
      <c r="AH917">
        <v>30</v>
      </c>
      <c r="AI917">
        <v>30</v>
      </c>
      <c r="AJ917">
        <v>0</v>
      </c>
      <c r="AK917">
        <v>7</v>
      </c>
      <c r="AL917" t="s">
        <v>161</v>
      </c>
      <c r="AM917" t="s">
        <v>162</v>
      </c>
      <c r="AN917" t="s">
        <v>163</v>
      </c>
      <c r="AO917" t="s">
        <v>1533</v>
      </c>
      <c r="AP917" t="s">
        <v>1534</v>
      </c>
      <c r="AQ917" t="s">
        <v>74</v>
      </c>
      <c r="AR917" t="s">
        <v>1535</v>
      </c>
      <c r="AS917" t="s">
        <v>1536</v>
      </c>
      <c r="AT917" t="s">
        <v>12382</v>
      </c>
      <c r="AU917">
        <v>2001</v>
      </c>
      <c r="AV917">
        <v>106</v>
      </c>
      <c r="AW917" t="s">
        <v>12436</v>
      </c>
      <c r="AX917" t="s">
        <v>74</v>
      </c>
      <c r="AY917" t="s">
        <v>74</v>
      </c>
      <c r="AZ917" t="s">
        <v>74</v>
      </c>
      <c r="BA917" t="s">
        <v>74</v>
      </c>
      <c r="BB917">
        <v>31425</v>
      </c>
      <c r="BC917">
        <v>31429</v>
      </c>
      <c r="BD917" t="s">
        <v>74</v>
      </c>
      <c r="BE917" t="s">
        <v>12449</v>
      </c>
      <c r="BF917" t="str">
        <f>HYPERLINK("http://dx.doi.org/10.1029/2001JC001008","http://dx.doi.org/10.1029/2001JC001008")</f>
        <v>http://dx.doi.org/10.1029/2001JC001008</v>
      </c>
      <c r="BG917" t="s">
        <v>74</v>
      </c>
      <c r="BH917" t="s">
        <v>74</v>
      </c>
      <c r="BI917">
        <v>5</v>
      </c>
      <c r="BJ917" t="s">
        <v>1155</v>
      </c>
      <c r="BK917" t="s">
        <v>170</v>
      </c>
      <c r="BL917" t="s">
        <v>1155</v>
      </c>
      <c r="BM917" t="s">
        <v>12438</v>
      </c>
      <c r="BN917" t="s">
        <v>74</v>
      </c>
      <c r="BO917" t="s">
        <v>2052</v>
      </c>
      <c r="BP917" t="s">
        <v>74</v>
      </c>
      <c r="BQ917" t="s">
        <v>74</v>
      </c>
      <c r="BR917" t="s">
        <v>107</v>
      </c>
      <c r="BS917" t="s">
        <v>12450</v>
      </c>
      <c r="BT917" t="str">
        <f>HYPERLINK("https%3A%2F%2Fwww.webofscience.com%2Fwos%2Fwoscc%2Ffull-record%2FWOS:000173402400035","View Full Record in Web of Science")</f>
        <v>View Full Record in Web of Science</v>
      </c>
    </row>
    <row r="918" spans="1:72" x14ac:dyDescent="0.15">
      <c r="A918" t="s">
        <v>72</v>
      </c>
      <c r="B918" t="s">
        <v>12451</v>
      </c>
      <c r="C918" t="s">
        <v>74</v>
      </c>
      <c r="D918" t="s">
        <v>74</v>
      </c>
      <c r="E918" t="s">
        <v>74</v>
      </c>
      <c r="F918" t="s">
        <v>12451</v>
      </c>
      <c r="G918" t="s">
        <v>74</v>
      </c>
      <c r="H918" t="s">
        <v>74</v>
      </c>
      <c r="I918" t="s">
        <v>12452</v>
      </c>
      <c r="J918" t="s">
        <v>1524</v>
      </c>
      <c r="K918" t="s">
        <v>74</v>
      </c>
      <c r="L918" t="s">
        <v>74</v>
      </c>
      <c r="M918" t="s">
        <v>77</v>
      </c>
      <c r="N918" t="s">
        <v>153</v>
      </c>
      <c r="O918" t="s">
        <v>74</v>
      </c>
      <c r="P918" t="s">
        <v>74</v>
      </c>
      <c r="Q918" t="s">
        <v>74</v>
      </c>
      <c r="R918" t="s">
        <v>74</v>
      </c>
      <c r="S918" t="s">
        <v>74</v>
      </c>
      <c r="T918" t="s">
        <v>74</v>
      </c>
      <c r="U918" t="s">
        <v>12453</v>
      </c>
      <c r="V918" t="s">
        <v>12454</v>
      </c>
      <c r="W918" t="s">
        <v>12455</v>
      </c>
      <c r="X918" t="s">
        <v>487</v>
      </c>
      <c r="Y918" t="s">
        <v>12456</v>
      </c>
      <c r="Z918" t="s">
        <v>12457</v>
      </c>
      <c r="AA918" t="s">
        <v>12458</v>
      </c>
      <c r="AB918" t="s">
        <v>12459</v>
      </c>
      <c r="AC918" t="s">
        <v>74</v>
      </c>
      <c r="AD918" t="s">
        <v>74</v>
      </c>
      <c r="AE918" t="s">
        <v>74</v>
      </c>
      <c r="AF918" t="s">
        <v>74</v>
      </c>
      <c r="AG918">
        <v>34</v>
      </c>
      <c r="AH918">
        <v>61</v>
      </c>
      <c r="AI918">
        <v>65</v>
      </c>
      <c r="AJ918">
        <v>0</v>
      </c>
      <c r="AK918">
        <v>17</v>
      </c>
      <c r="AL918" t="s">
        <v>161</v>
      </c>
      <c r="AM918" t="s">
        <v>162</v>
      </c>
      <c r="AN918" t="s">
        <v>163</v>
      </c>
      <c r="AO918" t="s">
        <v>1533</v>
      </c>
      <c r="AP918" t="s">
        <v>1534</v>
      </c>
      <c r="AQ918" t="s">
        <v>74</v>
      </c>
      <c r="AR918" t="s">
        <v>1535</v>
      </c>
      <c r="AS918" t="s">
        <v>1536</v>
      </c>
      <c r="AT918" t="s">
        <v>12382</v>
      </c>
      <c r="AU918">
        <v>2001</v>
      </c>
      <c r="AV918">
        <v>106</v>
      </c>
      <c r="AW918" t="s">
        <v>12436</v>
      </c>
      <c r="AX918" t="s">
        <v>74</v>
      </c>
      <c r="AY918" t="s">
        <v>74</v>
      </c>
      <c r="AZ918" t="s">
        <v>74</v>
      </c>
      <c r="BA918" t="s">
        <v>74</v>
      </c>
      <c r="BB918">
        <v>31431</v>
      </c>
      <c r="BC918">
        <v>31445</v>
      </c>
      <c r="BD918" t="s">
        <v>74</v>
      </c>
      <c r="BE918" t="s">
        <v>12460</v>
      </c>
      <c r="BF918" t="str">
        <f>HYPERLINK("http://dx.doi.org/10.1029/2000JC000331","http://dx.doi.org/10.1029/2000JC000331")</f>
        <v>http://dx.doi.org/10.1029/2000JC000331</v>
      </c>
      <c r="BG918" t="s">
        <v>74</v>
      </c>
      <c r="BH918" t="s">
        <v>74</v>
      </c>
      <c r="BI918">
        <v>15</v>
      </c>
      <c r="BJ918" t="s">
        <v>1155</v>
      </c>
      <c r="BK918" t="s">
        <v>170</v>
      </c>
      <c r="BL918" t="s">
        <v>1155</v>
      </c>
      <c r="BM918" t="s">
        <v>12438</v>
      </c>
      <c r="BN918" t="s">
        <v>74</v>
      </c>
      <c r="BO918" t="s">
        <v>173</v>
      </c>
      <c r="BP918" t="s">
        <v>74</v>
      </c>
      <c r="BQ918" t="s">
        <v>74</v>
      </c>
      <c r="BR918" t="s">
        <v>107</v>
      </c>
      <c r="BS918" t="s">
        <v>12461</v>
      </c>
      <c r="BT918" t="str">
        <f>HYPERLINK("https%3A%2F%2Fwww.webofscience.com%2Fwos%2Fwoscc%2Ffull-record%2FWOS:000173402400036","View Full Record in Web of Science")</f>
        <v>View Full Record in Web of Science</v>
      </c>
    </row>
    <row r="919" spans="1:72" x14ac:dyDescent="0.15">
      <c r="A919" t="s">
        <v>72</v>
      </c>
      <c r="B919" t="s">
        <v>12462</v>
      </c>
      <c r="C919" t="s">
        <v>74</v>
      </c>
      <c r="D919" t="s">
        <v>74</v>
      </c>
      <c r="E919" t="s">
        <v>74</v>
      </c>
      <c r="F919" t="s">
        <v>12462</v>
      </c>
      <c r="G919" t="s">
        <v>74</v>
      </c>
      <c r="H919" t="s">
        <v>74</v>
      </c>
      <c r="I919" t="s">
        <v>12463</v>
      </c>
      <c r="J919" t="s">
        <v>1524</v>
      </c>
      <c r="K919" t="s">
        <v>74</v>
      </c>
      <c r="L919" t="s">
        <v>74</v>
      </c>
      <c r="M919" t="s">
        <v>77</v>
      </c>
      <c r="N919" t="s">
        <v>153</v>
      </c>
      <c r="O919" t="s">
        <v>74</v>
      </c>
      <c r="P919" t="s">
        <v>74</v>
      </c>
      <c r="Q919" t="s">
        <v>74</v>
      </c>
      <c r="R919" t="s">
        <v>74</v>
      </c>
      <c r="S919" t="s">
        <v>74</v>
      </c>
      <c r="T919" t="s">
        <v>74</v>
      </c>
      <c r="U919" t="s">
        <v>12464</v>
      </c>
      <c r="V919" t="s">
        <v>12465</v>
      </c>
      <c r="W919" t="s">
        <v>12466</v>
      </c>
      <c r="X919" t="s">
        <v>487</v>
      </c>
      <c r="Y919" t="s">
        <v>12467</v>
      </c>
      <c r="Z919" t="s">
        <v>12468</v>
      </c>
      <c r="AA919" t="s">
        <v>12469</v>
      </c>
      <c r="AB919" t="s">
        <v>12470</v>
      </c>
      <c r="AC919" t="s">
        <v>74</v>
      </c>
      <c r="AD919" t="s">
        <v>74</v>
      </c>
      <c r="AE919" t="s">
        <v>74</v>
      </c>
      <c r="AF919" t="s">
        <v>74</v>
      </c>
      <c r="AG919">
        <v>44</v>
      </c>
      <c r="AH919">
        <v>121</v>
      </c>
      <c r="AI919">
        <v>124</v>
      </c>
      <c r="AJ919">
        <v>1</v>
      </c>
      <c r="AK919">
        <v>23</v>
      </c>
      <c r="AL919" t="s">
        <v>161</v>
      </c>
      <c r="AM919" t="s">
        <v>162</v>
      </c>
      <c r="AN919" t="s">
        <v>163</v>
      </c>
      <c r="AO919" t="s">
        <v>1533</v>
      </c>
      <c r="AP919" t="s">
        <v>1534</v>
      </c>
      <c r="AQ919" t="s">
        <v>74</v>
      </c>
      <c r="AR919" t="s">
        <v>1535</v>
      </c>
      <c r="AS919" t="s">
        <v>1536</v>
      </c>
      <c r="AT919" t="s">
        <v>12382</v>
      </c>
      <c r="AU919">
        <v>2001</v>
      </c>
      <c r="AV919">
        <v>106</v>
      </c>
      <c r="AW919" t="s">
        <v>12436</v>
      </c>
      <c r="AX919" t="s">
        <v>74</v>
      </c>
      <c r="AY919" t="s">
        <v>74</v>
      </c>
      <c r="AZ919" t="s">
        <v>74</v>
      </c>
      <c r="BA919" t="s">
        <v>74</v>
      </c>
      <c r="BB919">
        <v>31447</v>
      </c>
      <c r="BC919">
        <v>31462</v>
      </c>
      <c r="BD919" t="s">
        <v>74</v>
      </c>
      <c r="BE919" t="s">
        <v>12471</v>
      </c>
      <c r="BF919" t="str">
        <f>HYPERLINK("http://dx.doi.org/10.1029/2000JC000329","http://dx.doi.org/10.1029/2000JC000329")</f>
        <v>http://dx.doi.org/10.1029/2000JC000329</v>
      </c>
      <c r="BG919" t="s">
        <v>74</v>
      </c>
      <c r="BH919" t="s">
        <v>74</v>
      </c>
      <c r="BI919">
        <v>16</v>
      </c>
      <c r="BJ919" t="s">
        <v>1155</v>
      </c>
      <c r="BK919" t="s">
        <v>170</v>
      </c>
      <c r="BL919" t="s">
        <v>1155</v>
      </c>
      <c r="BM919" t="s">
        <v>12438</v>
      </c>
      <c r="BN919" t="s">
        <v>74</v>
      </c>
      <c r="BO919" t="s">
        <v>74</v>
      </c>
      <c r="BP919" t="s">
        <v>74</v>
      </c>
      <c r="BQ919" t="s">
        <v>74</v>
      </c>
      <c r="BR919" t="s">
        <v>107</v>
      </c>
      <c r="BS919" t="s">
        <v>12472</v>
      </c>
      <c r="BT919" t="str">
        <f>HYPERLINK("https%3A%2F%2Fwww.webofscience.com%2Fwos%2Fwoscc%2Ffull-record%2FWOS:000173402400037","View Full Record in Web of Science")</f>
        <v>View Full Record in Web of Science</v>
      </c>
    </row>
    <row r="920" spans="1:72" x14ac:dyDescent="0.15">
      <c r="A920" t="s">
        <v>72</v>
      </c>
      <c r="B920" t="s">
        <v>12473</v>
      </c>
      <c r="C920" t="s">
        <v>74</v>
      </c>
      <c r="D920" t="s">
        <v>74</v>
      </c>
      <c r="E920" t="s">
        <v>74</v>
      </c>
      <c r="F920" t="s">
        <v>12473</v>
      </c>
      <c r="G920" t="s">
        <v>74</v>
      </c>
      <c r="H920" t="s">
        <v>74</v>
      </c>
      <c r="I920" t="s">
        <v>12474</v>
      </c>
      <c r="J920" t="s">
        <v>1524</v>
      </c>
      <c r="K920" t="s">
        <v>74</v>
      </c>
      <c r="L920" t="s">
        <v>74</v>
      </c>
      <c r="M920" t="s">
        <v>77</v>
      </c>
      <c r="N920" t="s">
        <v>153</v>
      </c>
      <c r="O920" t="s">
        <v>74</v>
      </c>
      <c r="P920" t="s">
        <v>74</v>
      </c>
      <c r="Q920" t="s">
        <v>74</v>
      </c>
      <c r="R920" t="s">
        <v>74</v>
      </c>
      <c r="S920" t="s">
        <v>74</v>
      </c>
      <c r="T920" t="s">
        <v>74</v>
      </c>
      <c r="U920" t="s">
        <v>12475</v>
      </c>
      <c r="V920" t="s">
        <v>12476</v>
      </c>
      <c r="W920" t="s">
        <v>12477</v>
      </c>
      <c r="X920" t="s">
        <v>871</v>
      </c>
      <c r="Y920" t="s">
        <v>12478</v>
      </c>
      <c r="Z920" t="s">
        <v>12479</v>
      </c>
      <c r="AA920" t="s">
        <v>12480</v>
      </c>
      <c r="AB920" t="s">
        <v>74</v>
      </c>
      <c r="AC920" t="s">
        <v>74</v>
      </c>
      <c r="AD920" t="s">
        <v>74</v>
      </c>
      <c r="AE920" t="s">
        <v>74</v>
      </c>
      <c r="AF920" t="s">
        <v>74</v>
      </c>
      <c r="AG920">
        <v>74</v>
      </c>
      <c r="AH920">
        <v>55</v>
      </c>
      <c r="AI920">
        <v>57</v>
      </c>
      <c r="AJ920">
        <v>0</v>
      </c>
      <c r="AK920">
        <v>0</v>
      </c>
      <c r="AL920" t="s">
        <v>161</v>
      </c>
      <c r="AM920" t="s">
        <v>162</v>
      </c>
      <c r="AN920" t="s">
        <v>163</v>
      </c>
      <c r="AO920" t="s">
        <v>1533</v>
      </c>
      <c r="AP920" t="s">
        <v>1534</v>
      </c>
      <c r="AQ920" t="s">
        <v>74</v>
      </c>
      <c r="AR920" t="s">
        <v>1535</v>
      </c>
      <c r="AS920" t="s">
        <v>1536</v>
      </c>
      <c r="AT920" t="s">
        <v>12382</v>
      </c>
      <c r="AU920">
        <v>2001</v>
      </c>
      <c r="AV920">
        <v>106</v>
      </c>
      <c r="AW920" t="s">
        <v>12436</v>
      </c>
      <c r="AX920" t="s">
        <v>74</v>
      </c>
      <c r="AY920" t="s">
        <v>74</v>
      </c>
      <c r="AZ920" t="s">
        <v>74</v>
      </c>
      <c r="BA920" t="s">
        <v>74</v>
      </c>
      <c r="BB920">
        <v>31463</v>
      </c>
      <c r="BC920">
        <v>31487</v>
      </c>
      <c r="BD920" t="s">
        <v>74</v>
      </c>
      <c r="BE920" t="s">
        <v>12481</v>
      </c>
      <c r="BF920" t="str">
        <f>HYPERLINK("http://dx.doi.org/10.1029/2000JC000287","http://dx.doi.org/10.1029/2000JC000287")</f>
        <v>http://dx.doi.org/10.1029/2000JC000287</v>
      </c>
      <c r="BG920" t="s">
        <v>74</v>
      </c>
      <c r="BH920" t="s">
        <v>74</v>
      </c>
      <c r="BI920">
        <v>25</v>
      </c>
      <c r="BJ920" t="s">
        <v>1155</v>
      </c>
      <c r="BK920" t="s">
        <v>170</v>
      </c>
      <c r="BL920" t="s">
        <v>1155</v>
      </c>
      <c r="BM920" t="s">
        <v>12438</v>
      </c>
      <c r="BN920" t="s">
        <v>74</v>
      </c>
      <c r="BO920" t="s">
        <v>173</v>
      </c>
      <c r="BP920" t="s">
        <v>74</v>
      </c>
      <c r="BQ920" t="s">
        <v>74</v>
      </c>
      <c r="BR920" t="s">
        <v>107</v>
      </c>
      <c r="BS920" t="s">
        <v>12482</v>
      </c>
      <c r="BT920" t="str">
        <f>HYPERLINK("https%3A%2F%2Fwww.webofscience.com%2Fwos%2Fwoscc%2Ffull-record%2FWOS:000173402400038","View Full Record in Web of Science")</f>
        <v>View Full Record in Web of Science</v>
      </c>
    </row>
    <row r="921" spans="1:72" x14ac:dyDescent="0.15">
      <c r="A921" t="s">
        <v>72</v>
      </c>
      <c r="B921" t="s">
        <v>12483</v>
      </c>
      <c r="C921" t="s">
        <v>74</v>
      </c>
      <c r="D921" t="s">
        <v>74</v>
      </c>
      <c r="E921" t="s">
        <v>74</v>
      </c>
      <c r="F921" t="s">
        <v>12483</v>
      </c>
      <c r="G921" t="s">
        <v>74</v>
      </c>
      <c r="H921" t="s">
        <v>74</v>
      </c>
      <c r="I921" t="s">
        <v>12484</v>
      </c>
      <c r="J921" t="s">
        <v>1524</v>
      </c>
      <c r="K921" t="s">
        <v>74</v>
      </c>
      <c r="L921" t="s">
        <v>74</v>
      </c>
      <c r="M921" t="s">
        <v>77</v>
      </c>
      <c r="N921" t="s">
        <v>153</v>
      </c>
      <c r="O921" t="s">
        <v>74</v>
      </c>
      <c r="P921" t="s">
        <v>74</v>
      </c>
      <c r="Q921" t="s">
        <v>74</v>
      </c>
      <c r="R921" t="s">
        <v>74</v>
      </c>
      <c r="S921" t="s">
        <v>74</v>
      </c>
      <c r="T921" t="s">
        <v>74</v>
      </c>
      <c r="U921" t="s">
        <v>12485</v>
      </c>
      <c r="V921" t="s">
        <v>12486</v>
      </c>
      <c r="W921" t="s">
        <v>12487</v>
      </c>
      <c r="X921" t="s">
        <v>5473</v>
      </c>
      <c r="Y921" t="s">
        <v>11693</v>
      </c>
      <c r="Z921" t="s">
        <v>12488</v>
      </c>
      <c r="AA921" t="s">
        <v>12480</v>
      </c>
      <c r="AB921" t="s">
        <v>74</v>
      </c>
      <c r="AC921" t="s">
        <v>74</v>
      </c>
      <c r="AD921" t="s">
        <v>74</v>
      </c>
      <c r="AE921" t="s">
        <v>74</v>
      </c>
      <c r="AF921" t="s">
        <v>74</v>
      </c>
      <c r="AG921">
        <v>91</v>
      </c>
      <c r="AH921">
        <v>124</v>
      </c>
      <c r="AI921">
        <v>131</v>
      </c>
      <c r="AJ921">
        <v>1</v>
      </c>
      <c r="AK921">
        <v>14</v>
      </c>
      <c r="AL921" t="s">
        <v>161</v>
      </c>
      <c r="AM921" t="s">
        <v>162</v>
      </c>
      <c r="AN921" t="s">
        <v>163</v>
      </c>
      <c r="AO921" t="s">
        <v>1533</v>
      </c>
      <c r="AP921" t="s">
        <v>1534</v>
      </c>
      <c r="AQ921" t="s">
        <v>74</v>
      </c>
      <c r="AR921" t="s">
        <v>1535</v>
      </c>
      <c r="AS921" t="s">
        <v>1536</v>
      </c>
      <c r="AT921" t="s">
        <v>12382</v>
      </c>
      <c r="AU921">
        <v>2001</v>
      </c>
      <c r="AV921">
        <v>106</v>
      </c>
      <c r="AW921" t="s">
        <v>12436</v>
      </c>
      <c r="AX921" t="s">
        <v>74</v>
      </c>
      <c r="AY921" t="s">
        <v>74</v>
      </c>
      <c r="AZ921" t="s">
        <v>74</v>
      </c>
      <c r="BA921" t="s">
        <v>74</v>
      </c>
      <c r="BB921">
        <v>31489</v>
      </c>
      <c r="BC921">
        <v>31509</v>
      </c>
      <c r="BD921" t="s">
        <v>74</v>
      </c>
      <c r="BE921" t="s">
        <v>12489</v>
      </c>
      <c r="BF921" t="str">
        <f>HYPERLINK("http://dx.doi.org/10.1029/2000JC000308","http://dx.doi.org/10.1029/2000JC000308")</f>
        <v>http://dx.doi.org/10.1029/2000JC000308</v>
      </c>
      <c r="BG921" t="s">
        <v>74</v>
      </c>
      <c r="BH921" t="s">
        <v>74</v>
      </c>
      <c r="BI921">
        <v>21</v>
      </c>
      <c r="BJ921" t="s">
        <v>1155</v>
      </c>
      <c r="BK921" t="s">
        <v>170</v>
      </c>
      <c r="BL921" t="s">
        <v>1155</v>
      </c>
      <c r="BM921" t="s">
        <v>12438</v>
      </c>
      <c r="BN921" t="s">
        <v>74</v>
      </c>
      <c r="BO921" t="s">
        <v>535</v>
      </c>
      <c r="BP921" t="s">
        <v>74</v>
      </c>
      <c r="BQ921" t="s">
        <v>74</v>
      </c>
      <c r="BR921" t="s">
        <v>107</v>
      </c>
      <c r="BS921" t="s">
        <v>12490</v>
      </c>
      <c r="BT921" t="str">
        <f>HYPERLINK("https%3A%2F%2Fwww.webofscience.com%2Fwos%2Fwoscc%2Ffull-record%2FWOS:000173402400039","View Full Record in Web of Science")</f>
        <v>View Full Record in Web of Science</v>
      </c>
    </row>
    <row r="922" spans="1:72" x14ac:dyDescent="0.15">
      <c r="A922" t="s">
        <v>72</v>
      </c>
      <c r="B922" t="s">
        <v>12491</v>
      </c>
      <c r="C922" t="s">
        <v>74</v>
      </c>
      <c r="D922" t="s">
        <v>74</v>
      </c>
      <c r="E922" t="s">
        <v>74</v>
      </c>
      <c r="F922" t="s">
        <v>12491</v>
      </c>
      <c r="G922" t="s">
        <v>74</v>
      </c>
      <c r="H922" t="s">
        <v>74</v>
      </c>
      <c r="I922" t="s">
        <v>12492</v>
      </c>
      <c r="J922" t="s">
        <v>1524</v>
      </c>
      <c r="K922" t="s">
        <v>74</v>
      </c>
      <c r="L922" t="s">
        <v>74</v>
      </c>
      <c r="M922" t="s">
        <v>77</v>
      </c>
      <c r="N922" t="s">
        <v>153</v>
      </c>
      <c r="O922" t="s">
        <v>74</v>
      </c>
      <c r="P922" t="s">
        <v>74</v>
      </c>
      <c r="Q922" t="s">
        <v>74</v>
      </c>
      <c r="R922" t="s">
        <v>74</v>
      </c>
      <c r="S922" t="s">
        <v>74</v>
      </c>
      <c r="T922" t="s">
        <v>74</v>
      </c>
      <c r="U922" t="s">
        <v>12493</v>
      </c>
      <c r="V922" t="s">
        <v>12494</v>
      </c>
      <c r="W922" t="s">
        <v>12495</v>
      </c>
      <c r="X922" t="s">
        <v>12496</v>
      </c>
      <c r="Y922" t="s">
        <v>12497</v>
      </c>
      <c r="Z922" t="s">
        <v>12498</v>
      </c>
      <c r="AA922" t="s">
        <v>12499</v>
      </c>
      <c r="AB922" t="s">
        <v>12500</v>
      </c>
      <c r="AC922" t="s">
        <v>74</v>
      </c>
      <c r="AD922" t="s">
        <v>74</v>
      </c>
      <c r="AE922" t="s">
        <v>74</v>
      </c>
      <c r="AF922" t="s">
        <v>74</v>
      </c>
      <c r="AG922">
        <v>29</v>
      </c>
      <c r="AH922">
        <v>10</v>
      </c>
      <c r="AI922">
        <v>11</v>
      </c>
      <c r="AJ922">
        <v>0</v>
      </c>
      <c r="AK922">
        <v>3</v>
      </c>
      <c r="AL922" t="s">
        <v>161</v>
      </c>
      <c r="AM922" t="s">
        <v>162</v>
      </c>
      <c r="AN922" t="s">
        <v>163</v>
      </c>
      <c r="AO922" t="s">
        <v>1533</v>
      </c>
      <c r="AP922" t="s">
        <v>1534</v>
      </c>
      <c r="AQ922" t="s">
        <v>74</v>
      </c>
      <c r="AR922" t="s">
        <v>1535</v>
      </c>
      <c r="AS922" t="s">
        <v>1536</v>
      </c>
      <c r="AT922" t="s">
        <v>12382</v>
      </c>
      <c r="AU922">
        <v>2001</v>
      </c>
      <c r="AV922">
        <v>106</v>
      </c>
      <c r="AW922" t="s">
        <v>12436</v>
      </c>
      <c r="AX922" t="s">
        <v>74</v>
      </c>
      <c r="AY922" t="s">
        <v>74</v>
      </c>
      <c r="AZ922" t="s">
        <v>74</v>
      </c>
      <c r="BA922" t="s">
        <v>74</v>
      </c>
      <c r="BB922">
        <v>31511</v>
      </c>
      <c r="BC922">
        <v>31524</v>
      </c>
      <c r="BD922" t="s">
        <v>74</v>
      </c>
      <c r="BE922" t="s">
        <v>12501</v>
      </c>
      <c r="BF922" t="str">
        <f>HYPERLINK("http://dx.doi.org/10.1029/2000JC000357","http://dx.doi.org/10.1029/2000JC000357")</f>
        <v>http://dx.doi.org/10.1029/2000JC000357</v>
      </c>
      <c r="BG922" t="s">
        <v>74</v>
      </c>
      <c r="BH922" t="s">
        <v>74</v>
      </c>
      <c r="BI922">
        <v>14</v>
      </c>
      <c r="BJ922" t="s">
        <v>1155</v>
      </c>
      <c r="BK922" t="s">
        <v>170</v>
      </c>
      <c r="BL922" t="s">
        <v>1155</v>
      </c>
      <c r="BM922" t="s">
        <v>12438</v>
      </c>
      <c r="BN922" t="s">
        <v>74</v>
      </c>
      <c r="BO922" t="s">
        <v>74</v>
      </c>
      <c r="BP922" t="s">
        <v>74</v>
      </c>
      <c r="BQ922" t="s">
        <v>74</v>
      </c>
      <c r="BR922" t="s">
        <v>107</v>
      </c>
      <c r="BS922" t="s">
        <v>12502</v>
      </c>
      <c r="BT922" t="str">
        <f>HYPERLINK("https%3A%2F%2Fwww.webofscience.com%2Fwos%2Fwoscc%2Ffull-record%2FWOS:000173402400040","View Full Record in Web of Science")</f>
        <v>View Full Record in Web of Science</v>
      </c>
    </row>
    <row r="923" spans="1:72" x14ac:dyDescent="0.15">
      <c r="A923" t="s">
        <v>72</v>
      </c>
      <c r="B923" t="s">
        <v>12503</v>
      </c>
      <c r="C923" t="s">
        <v>74</v>
      </c>
      <c r="D923" t="s">
        <v>74</v>
      </c>
      <c r="E923" t="s">
        <v>74</v>
      </c>
      <c r="F923" t="s">
        <v>12503</v>
      </c>
      <c r="G923" t="s">
        <v>74</v>
      </c>
      <c r="H923" t="s">
        <v>74</v>
      </c>
      <c r="I923" t="s">
        <v>12504</v>
      </c>
      <c r="J923" t="s">
        <v>1524</v>
      </c>
      <c r="K923" t="s">
        <v>74</v>
      </c>
      <c r="L923" t="s">
        <v>74</v>
      </c>
      <c r="M923" t="s">
        <v>77</v>
      </c>
      <c r="N923" t="s">
        <v>153</v>
      </c>
      <c r="O923" t="s">
        <v>74</v>
      </c>
      <c r="P923" t="s">
        <v>74</v>
      </c>
      <c r="Q923" t="s">
        <v>74</v>
      </c>
      <c r="R923" t="s">
        <v>74</v>
      </c>
      <c r="S923" t="s">
        <v>74</v>
      </c>
      <c r="T923" t="s">
        <v>74</v>
      </c>
      <c r="U923" t="s">
        <v>12505</v>
      </c>
      <c r="V923" t="s">
        <v>12506</v>
      </c>
      <c r="W923" t="s">
        <v>12507</v>
      </c>
      <c r="X923" t="s">
        <v>12508</v>
      </c>
      <c r="Y923" t="s">
        <v>12497</v>
      </c>
      <c r="Z923" t="s">
        <v>12509</v>
      </c>
      <c r="AA923" t="s">
        <v>12510</v>
      </c>
      <c r="AB923" t="s">
        <v>12500</v>
      </c>
      <c r="AC923" t="s">
        <v>74</v>
      </c>
      <c r="AD923" t="s">
        <v>74</v>
      </c>
      <c r="AE923" t="s">
        <v>74</v>
      </c>
      <c r="AF923" t="s">
        <v>74</v>
      </c>
      <c r="AG923">
        <v>39</v>
      </c>
      <c r="AH923">
        <v>26</v>
      </c>
      <c r="AI923">
        <v>26</v>
      </c>
      <c r="AJ923">
        <v>0</v>
      </c>
      <c r="AK923">
        <v>7</v>
      </c>
      <c r="AL923" t="s">
        <v>161</v>
      </c>
      <c r="AM923" t="s">
        <v>162</v>
      </c>
      <c r="AN923" t="s">
        <v>163</v>
      </c>
      <c r="AO923" t="s">
        <v>1533</v>
      </c>
      <c r="AP923" t="s">
        <v>1534</v>
      </c>
      <c r="AQ923" t="s">
        <v>74</v>
      </c>
      <c r="AR923" t="s">
        <v>1535</v>
      </c>
      <c r="AS923" t="s">
        <v>1536</v>
      </c>
      <c r="AT923" t="s">
        <v>12382</v>
      </c>
      <c r="AU923">
        <v>2001</v>
      </c>
      <c r="AV923">
        <v>106</v>
      </c>
      <c r="AW923" t="s">
        <v>12436</v>
      </c>
      <c r="AX923" t="s">
        <v>74</v>
      </c>
      <c r="AY923" t="s">
        <v>74</v>
      </c>
      <c r="AZ923" t="s">
        <v>74</v>
      </c>
      <c r="BA923" t="s">
        <v>74</v>
      </c>
      <c r="BB923">
        <v>31525</v>
      </c>
      <c r="BC923">
        <v>31541</v>
      </c>
      <c r="BD923" t="s">
        <v>74</v>
      </c>
      <c r="BE923" t="s">
        <v>12511</v>
      </c>
      <c r="BF923" t="str">
        <f>HYPERLINK("http://dx.doi.org/10.1029/2000JC000645","http://dx.doi.org/10.1029/2000JC000645")</f>
        <v>http://dx.doi.org/10.1029/2000JC000645</v>
      </c>
      <c r="BG923" t="s">
        <v>74</v>
      </c>
      <c r="BH923" t="s">
        <v>74</v>
      </c>
      <c r="BI923">
        <v>17</v>
      </c>
      <c r="BJ923" t="s">
        <v>1155</v>
      </c>
      <c r="BK923" t="s">
        <v>170</v>
      </c>
      <c r="BL923" t="s">
        <v>1155</v>
      </c>
      <c r="BM923" t="s">
        <v>12438</v>
      </c>
      <c r="BN923" t="s">
        <v>74</v>
      </c>
      <c r="BO923" t="s">
        <v>173</v>
      </c>
      <c r="BP923" t="s">
        <v>74</v>
      </c>
      <c r="BQ923" t="s">
        <v>74</v>
      </c>
      <c r="BR923" t="s">
        <v>107</v>
      </c>
      <c r="BS923" t="s">
        <v>12512</v>
      </c>
      <c r="BT923" t="str">
        <f>HYPERLINK("https%3A%2F%2Fwww.webofscience.com%2Fwos%2Fwoscc%2Ffull-record%2FWOS:000173402400041","View Full Record in Web of Science")</f>
        <v>View Full Record in Web of Science</v>
      </c>
    </row>
    <row r="924" spans="1:72" x14ac:dyDescent="0.15">
      <c r="A924" t="s">
        <v>72</v>
      </c>
      <c r="B924" t="s">
        <v>12513</v>
      </c>
      <c r="C924" t="s">
        <v>74</v>
      </c>
      <c r="D924" t="s">
        <v>74</v>
      </c>
      <c r="E924" t="s">
        <v>74</v>
      </c>
      <c r="F924" t="s">
        <v>12513</v>
      </c>
      <c r="G924" t="s">
        <v>74</v>
      </c>
      <c r="H924" t="s">
        <v>74</v>
      </c>
      <c r="I924" t="s">
        <v>12514</v>
      </c>
      <c r="J924" t="s">
        <v>1524</v>
      </c>
      <c r="K924" t="s">
        <v>74</v>
      </c>
      <c r="L924" t="s">
        <v>74</v>
      </c>
      <c r="M924" t="s">
        <v>77</v>
      </c>
      <c r="N924" t="s">
        <v>153</v>
      </c>
      <c r="O924" t="s">
        <v>74</v>
      </c>
      <c r="P924" t="s">
        <v>74</v>
      </c>
      <c r="Q924" t="s">
        <v>74</v>
      </c>
      <c r="R924" t="s">
        <v>74</v>
      </c>
      <c r="S924" t="s">
        <v>74</v>
      </c>
      <c r="T924" t="s">
        <v>74</v>
      </c>
      <c r="U924" t="s">
        <v>12515</v>
      </c>
      <c r="V924" t="s">
        <v>12516</v>
      </c>
      <c r="W924" t="s">
        <v>12517</v>
      </c>
      <c r="X924" t="s">
        <v>12518</v>
      </c>
      <c r="Y924" t="s">
        <v>12519</v>
      </c>
      <c r="Z924" t="s">
        <v>12520</v>
      </c>
      <c r="AA924" t="s">
        <v>12521</v>
      </c>
      <c r="AB924" t="s">
        <v>12522</v>
      </c>
      <c r="AC924" t="s">
        <v>74</v>
      </c>
      <c r="AD924" t="s">
        <v>74</v>
      </c>
      <c r="AE924" t="s">
        <v>74</v>
      </c>
      <c r="AF924" t="s">
        <v>74</v>
      </c>
      <c r="AG924">
        <v>50</v>
      </c>
      <c r="AH924">
        <v>83</v>
      </c>
      <c r="AI924">
        <v>84</v>
      </c>
      <c r="AJ924">
        <v>0</v>
      </c>
      <c r="AK924">
        <v>7</v>
      </c>
      <c r="AL924" t="s">
        <v>161</v>
      </c>
      <c r="AM924" t="s">
        <v>162</v>
      </c>
      <c r="AN924" t="s">
        <v>163</v>
      </c>
      <c r="AO924" t="s">
        <v>1533</v>
      </c>
      <c r="AP924" t="s">
        <v>1534</v>
      </c>
      <c r="AQ924" t="s">
        <v>74</v>
      </c>
      <c r="AR924" t="s">
        <v>1535</v>
      </c>
      <c r="AS924" t="s">
        <v>1536</v>
      </c>
      <c r="AT924" t="s">
        <v>12382</v>
      </c>
      <c r="AU924">
        <v>2001</v>
      </c>
      <c r="AV924">
        <v>106</v>
      </c>
      <c r="AW924" t="s">
        <v>12436</v>
      </c>
      <c r="AX924" t="s">
        <v>74</v>
      </c>
      <c r="AY924" t="s">
        <v>74</v>
      </c>
      <c r="AZ924" t="s">
        <v>74</v>
      </c>
      <c r="BA924" t="s">
        <v>74</v>
      </c>
      <c r="BB924">
        <v>31543</v>
      </c>
      <c r="BC924">
        <v>31557</v>
      </c>
      <c r="BD924" t="s">
        <v>74</v>
      </c>
      <c r="BE924" t="s">
        <v>12523</v>
      </c>
      <c r="BF924" t="str">
        <f>HYPERLINK("http://dx.doi.org/10.1029/2000JC000322","http://dx.doi.org/10.1029/2000JC000322")</f>
        <v>http://dx.doi.org/10.1029/2000JC000322</v>
      </c>
      <c r="BG924" t="s">
        <v>74</v>
      </c>
      <c r="BH924" t="s">
        <v>74</v>
      </c>
      <c r="BI924">
        <v>15</v>
      </c>
      <c r="BJ924" t="s">
        <v>1155</v>
      </c>
      <c r="BK924" t="s">
        <v>170</v>
      </c>
      <c r="BL924" t="s">
        <v>1155</v>
      </c>
      <c r="BM924" t="s">
        <v>12438</v>
      </c>
      <c r="BN924" t="s">
        <v>74</v>
      </c>
      <c r="BO924" t="s">
        <v>74</v>
      </c>
      <c r="BP924" t="s">
        <v>74</v>
      </c>
      <c r="BQ924" t="s">
        <v>74</v>
      </c>
      <c r="BR924" t="s">
        <v>107</v>
      </c>
      <c r="BS924" t="s">
        <v>12524</v>
      </c>
      <c r="BT924" t="str">
        <f>HYPERLINK("https%3A%2F%2Fwww.webofscience.com%2Fwos%2Fwoscc%2Ffull-record%2FWOS:000173402400042","View Full Record in Web of Science")</f>
        <v>View Full Record in Web of Science</v>
      </c>
    </row>
    <row r="925" spans="1:72" x14ac:dyDescent="0.15">
      <c r="A925" t="s">
        <v>72</v>
      </c>
      <c r="B925" t="s">
        <v>12525</v>
      </c>
      <c r="C925" t="s">
        <v>74</v>
      </c>
      <c r="D925" t="s">
        <v>74</v>
      </c>
      <c r="E925" t="s">
        <v>74</v>
      </c>
      <c r="F925" t="s">
        <v>12525</v>
      </c>
      <c r="G925" t="s">
        <v>74</v>
      </c>
      <c r="H925" t="s">
        <v>74</v>
      </c>
      <c r="I925" t="s">
        <v>12526</v>
      </c>
      <c r="J925" t="s">
        <v>1524</v>
      </c>
      <c r="K925" t="s">
        <v>74</v>
      </c>
      <c r="L925" t="s">
        <v>74</v>
      </c>
      <c r="M925" t="s">
        <v>77</v>
      </c>
      <c r="N925" t="s">
        <v>153</v>
      </c>
      <c r="O925" t="s">
        <v>74</v>
      </c>
      <c r="P925" t="s">
        <v>74</v>
      </c>
      <c r="Q925" t="s">
        <v>74</v>
      </c>
      <c r="R925" t="s">
        <v>74</v>
      </c>
      <c r="S925" t="s">
        <v>74</v>
      </c>
      <c r="T925" t="s">
        <v>74</v>
      </c>
      <c r="U925" t="s">
        <v>12527</v>
      </c>
      <c r="V925" t="s">
        <v>12528</v>
      </c>
      <c r="W925" t="s">
        <v>12529</v>
      </c>
      <c r="X925" t="s">
        <v>12530</v>
      </c>
      <c r="Y925" t="s">
        <v>12531</v>
      </c>
      <c r="Z925" t="s">
        <v>12532</v>
      </c>
      <c r="AA925" t="s">
        <v>12533</v>
      </c>
      <c r="AB925" t="s">
        <v>12534</v>
      </c>
      <c r="AC925" t="s">
        <v>74</v>
      </c>
      <c r="AD925" t="s">
        <v>74</v>
      </c>
      <c r="AE925" t="s">
        <v>74</v>
      </c>
      <c r="AF925" t="s">
        <v>74</v>
      </c>
      <c r="AG925">
        <v>51</v>
      </c>
      <c r="AH925">
        <v>105</v>
      </c>
      <c r="AI925">
        <v>108</v>
      </c>
      <c r="AJ925">
        <v>0</v>
      </c>
      <c r="AK925">
        <v>21</v>
      </c>
      <c r="AL925" t="s">
        <v>161</v>
      </c>
      <c r="AM925" t="s">
        <v>162</v>
      </c>
      <c r="AN925" t="s">
        <v>163</v>
      </c>
      <c r="AO925" t="s">
        <v>1533</v>
      </c>
      <c r="AP925" t="s">
        <v>1534</v>
      </c>
      <c r="AQ925" t="s">
        <v>74</v>
      </c>
      <c r="AR925" t="s">
        <v>1535</v>
      </c>
      <c r="AS925" t="s">
        <v>1536</v>
      </c>
      <c r="AT925" t="s">
        <v>12382</v>
      </c>
      <c r="AU925">
        <v>2001</v>
      </c>
      <c r="AV925">
        <v>106</v>
      </c>
      <c r="AW925" t="s">
        <v>12436</v>
      </c>
      <c r="AX925" t="s">
        <v>74</v>
      </c>
      <c r="AY925" t="s">
        <v>74</v>
      </c>
      <c r="AZ925" t="s">
        <v>74</v>
      </c>
      <c r="BA925" t="s">
        <v>74</v>
      </c>
      <c r="BB925">
        <v>31559</v>
      </c>
      <c r="BC925">
        <v>31572</v>
      </c>
      <c r="BD925" t="s">
        <v>74</v>
      </c>
      <c r="BE925" t="s">
        <v>12535</v>
      </c>
      <c r="BF925" t="str">
        <f>HYPERLINK("http://dx.doi.org/10.1029/2000JC000333","http://dx.doi.org/10.1029/2000JC000333")</f>
        <v>http://dx.doi.org/10.1029/2000JC000333</v>
      </c>
      <c r="BG925" t="s">
        <v>74</v>
      </c>
      <c r="BH925" t="s">
        <v>74</v>
      </c>
      <c r="BI925">
        <v>14</v>
      </c>
      <c r="BJ925" t="s">
        <v>1155</v>
      </c>
      <c r="BK925" t="s">
        <v>170</v>
      </c>
      <c r="BL925" t="s">
        <v>1155</v>
      </c>
      <c r="BM925" t="s">
        <v>12438</v>
      </c>
      <c r="BN925" t="s">
        <v>74</v>
      </c>
      <c r="BO925" t="s">
        <v>535</v>
      </c>
      <c r="BP925" t="s">
        <v>74</v>
      </c>
      <c r="BQ925" t="s">
        <v>74</v>
      </c>
      <c r="BR925" t="s">
        <v>107</v>
      </c>
      <c r="BS925" t="s">
        <v>12536</v>
      </c>
      <c r="BT925" t="str">
        <f>HYPERLINK("https%3A%2F%2Fwww.webofscience.com%2Fwos%2Fwoscc%2Ffull-record%2FWOS:000173402400043","View Full Record in Web of Science")</f>
        <v>View Full Record in Web of Science</v>
      </c>
    </row>
    <row r="926" spans="1:72" x14ac:dyDescent="0.15">
      <c r="A926" t="s">
        <v>72</v>
      </c>
      <c r="B926" t="s">
        <v>12537</v>
      </c>
      <c r="C926" t="s">
        <v>74</v>
      </c>
      <c r="D926" t="s">
        <v>74</v>
      </c>
      <c r="E926" t="s">
        <v>74</v>
      </c>
      <c r="F926" t="s">
        <v>12537</v>
      </c>
      <c r="G926" t="s">
        <v>74</v>
      </c>
      <c r="H926" t="s">
        <v>74</v>
      </c>
      <c r="I926" t="s">
        <v>12538</v>
      </c>
      <c r="J926" t="s">
        <v>1524</v>
      </c>
      <c r="K926" t="s">
        <v>74</v>
      </c>
      <c r="L926" t="s">
        <v>74</v>
      </c>
      <c r="M926" t="s">
        <v>77</v>
      </c>
      <c r="N926" t="s">
        <v>153</v>
      </c>
      <c r="O926" t="s">
        <v>74</v>
      </c>
      <c r="P926" t="s">
        <v>74</v>
      </c>
      <c r="Q926" t="s">
        <v>74</v>
      </c>
      <c r="R926" t="s">
        <v>74</v>
      </c>
      <c r="S926" t="s">
        <v>74</v>
      </c>
      <c r="T926" t="s">
        <v>74</v>
      </c>
      <c r="U926" t="s">
        <v>12539</v>
      </c>
      <c r="V926" t="s">
        <v>12540</v>
      </c>
      <c r="W926" t="s">
        <v>12541</v>
      </c>
      <c r="X926" t="s">
        <v>12542</v>
      </c>
      <c r="Y926" t="s">
        <v>12543</v>
      </c>
      <c r="Z926" t="s">
        <v>12544</v>
      </c>
      <c r="AA926" t="s">
        <v>12545</v>
      </c>
      <c r="AB926" t="s">
        <v>12546</v>
      </c>
      <c r="AC926" t="s">
        <v>74</v>
      </c>
      <c r="AD926" t="s">
        <v>74</v>
      </c>
      <c r="AE926" t="s">
        <v>74</v>
      </c>
      <c r="AF926" t="s">
        <v>74</v>
      </c>
      <c r="AG926">
        <v>53</v>
      </c>
      <c r="AH926">
        <v>106</v>
      </c>
      <c r="AI926">
        <v>113</v>
      </c>
      <c r="AJ926">
        <v>2</v>
      </c>
      <c r="AK926">
        <v>22</v>
      </c>
      <c r="AL926" t="s">
        <v>161</v>
      </c>
      <c r="AM926" t="s">
        <v>162</v>
      </c>
      <c r="AN926" t="s">
        <v>163</v>
      </c>
      <c r="AO926" t="s">
        <v>1533</v>
      </c>
      <c r="AP926" t="s">
        <v>1534</v>
      </c>
      <c r="AQ926" t="s">
        <v>74</v>
      </c>
      <c r="AR926" t="s">
        <v>1535</v>
      </c>
      <c r="AS926" t="s">
        <v>1536</v>
      </c>
      <c r="AT926" t="s">
        <v>12382</v>
      </c>
      <c r="AU926">
        <v>2001</v>
      </c>
      <c r="AV926">
        <v>106</v>
      </c>
      <c r="AW926" t="s">
        <v>12436</v>
      </c>
      <c r="AX926" t="s">
        <v>74</v>
      </c>
      <c r="AY926" t="s">
        <v>74</v>
      </c>
      <c r="AZ926" t="s">
        <v>74</v>
      </c>
      <c r="BA926" t="s">
        <v>74</v>
      </c>
      <c r="BB926">
        <v>31573</v>
      </c>
      <c r="BC926">
        <v>31583</v>
      </c>
      <c r="BD926" t="s">
        <v>74</v>
      </c>
      <c r="BE926" t="s">
        <v>12547</v>
      </c>
      <c r="BF926" t="str">
        <f>HYPERLINK("http://dx.doi.org/10.1029/2000JC000348","http://dx.doi.org/10.1029/2000JC000348")</f>
        <v>http://dx.doi.org/10.1029/2000JC000348</v>
      </c>
      <c r="BG926" t="s">
        <v>74</v>
      </c>
      <c r="BH926" t="s">
        <v>74</v>
      </c>
      <c r="BI926">
        <v>11</v>
      </c>
      <c r="BJ926" t="s">
        <v>1155</v>
      </c>
      <c r="BK926" t="s">
        <v>170</v>
      </c>
      <c r="BL926" t="s">
        <v>1155</v>
      </c>
      <c r="BM926" t="s">
        <v>12438</v>
      </c>
      <c r="BN926" t="s">
        <v>74</v>
      </c>
      <c r="BO926" t="s">
        <v>2089</v>
      </c>
      <c r="BP926" t="s">
        <v>74</v>
      </c>
      <c r="BQ926" t="s">
        <v>74</v>
      </c>
      <c r="BR926" t="s">
        <v>107</v>
      </c>
      <c r="BS926" t="s">
        <v>12548</v>
      </c>
      <c r="BT926" t="str">
        <f>HYPERLINK("https%3A%2F%2Fwww.webofscience.com%2Fwos%2Fwoscc%2Ffull-record%2FWOS:000173402400044","View Full Record in Web of Science")</f>
        <v>View Full Record in Web of Science</v>
      </c>
    </row>
    <row r="927" spans="1:72" x14ac:dyDescent="0.15">
      <c r="A927" t="s">
        <v>72</v>
      </c>
      <c r="B927" t="s">
        <v>12549</v>
      </c>
      <c r="C927" t="s">
        <v>74</v>
      </c>
      <c r="D927" t="s">
        <v>74</v>
      </c>
      <c r="E927" t="s">
        <v>74</v>
      </c>
      <c r="F927" t="s">
        <v>12549</v>
      </c>
      <c r="G927" t="s">
        <v>74</v>
      </c>
      <c r="H927" t="s">
        <v>74</v>
      </c>
      <c r="I927" t="s">
        <v>12550</v>
      </c>
      <c r="J927" t="s">
        <v>1524</v>
      </c>
      <c r="K927" t="s">
        <v>74</v>
      </c>
      <c r="L927" t="s">
        <v>74</v>
      </c>
      <c r="M927" t="s">
        <v>77</v>
      </c>
      <c r="N927" t="s">
        <v>153</v>
      </c>
      <c r="O927" t="s">
        <v>74</v>
      </c>
      <c r="P927" t="s">
        <v>74</v>
      </c>
      <c r="Q927" t="s">
        <v>74</v>
      </c>
      <c r="R927" t="s">
        <v>74</v>
      </c>
      <c r="S927" t="s">
        <v>74</v>
      </c>
      <c r="T927" t="s">
        <v>74</v>
      </c>
      <c r="U927" t="s">
        <v>12551</v>
      </c>
      <c r="V927" t="s">
        <v>12552</v>
      </c>
      <c r="W927" t="s">
        <v>12553</v>
      </c>
      <c r="X927" t="s">
        <v>12554</v>
      </c>
      <c r="Y927" t="s">
        <v>12555</v>
      </c>
      <c r="Z927" t="s">
        <v>12556</v>
      </c>
      <c r="AA927" t="s">
        <v>12557</v>
      </c>
      <c r="AB927" t="s">
        <v>12558</v>
      </c>
      <c r="AC927" t="s">
        <v>74</v>
      </c>
      <c r="AD927" t="s">
        <v>74</v>
      </c>
      <c r="AE927" t="s">
        <v>74</v>
      </c>
      <c r="AF927" t="s">
        <v>74</v>
      </c>
      <c r="AG927">
        <v>55</v>
      </c>
      <c r="AH927">
        <v>7</v>
      </c>
      <c r="AI927">
        <v>7</v>
      </c>
      <c r="AJ927">
        <v>0</v>
      </c>
      <c r="AK927">
        <v>5</v>
      </c>
      <c r="AL927" t="s">
        <v>161</v>
      </c>
      <c r="AM927" t="s">
        <v>162</v>
      </c>
      <c r="AN927" t="s">
        <v>163</v>
      </c>
      <c r="AO927" t="s">
        <v>1533</v>
      </c>
      <c r="AP927" t="s">
        <v>1534</v>
      </c>
      <c r="AQ927" t="s">
        <v>74</v>
      </c>
      <c r="AR927" t="s">
        <v>1535</v>
      </c>
      <c r="AS927" t="s">
        <v>1536</v>
      </c>
      <c r="AT927" t="s">
        <v>12382</v>
      </c>
      <c r="AU927">
        <v>2001</v>
      </c>
      <c r="AV927">
        <v>106</v>
      </c>
      <c r="AW927" t="s">
        <v>12436</v>
      </c>
      <c r="AX927" t="s">
        <v>74</v>
      </c>
      <c r="AY927" t="s">
        <v>74</v>
      </c>
      <c r="AZ927" t="s">
        <v>74</v>
      </c>
      <c r="BA927" t="s">
        <v>74</v>
      </c>
      <c r="BB927">
        <v>31585</v>
      </c>
      <c r="BC927">
        <v>31595</v>
      </c>
      <c r="BD927" t="s">
        <v>74</v>
      </c>
      <c r="BE927" t="s">
        <v>12559</v>
      </c>
      <c r="BF927" t="str">
        <f>HYPERLINK("http://dx.doi.org/10.1029/2000JC000446","http://dx.doi.org/10.1029/2000JC000446")</f>
        <v>http://dx.doi.org/10.1029/2000JC000446</v>
      </c>
      <c r="BG927" t="s">
        <v>74</v>
      </c>
      <c r="BH927" t="s">
        <v>74</v>
      </c>
      <c r="BI927">
        <v>11</v>
      </c>
      <c r="BJ927" t="s">
        <v>1155</v>
      </c>
      <c r="BK927" t="s">
        <v>170</v>
      </c>
      <c r="BL927" t="s">
        <v>1155</v>
      </c>
      <c r="BM927" t="s">
        <v>12438</v>
      </c>
      <c r="BN927" t="s">
        <v>74</v>
      </c>
      <c r="BO927" t="s">
        <v>2052</v>
      </c>
      <c r="BP927" t="s">
        <v>74</v>
      </c>
      <c r="BQ927" t="s">
        <v>74</v>
      </c>
      <c r="BR927" t="s">
        <v>107</v>
      </c>
      <c r="BS927" t="s">
        <v>12560</v>
      </c>
      <c r="BT927" t="str">
        <f>HYPERLINK("https%3A%2F%2Fwww.webofscience.com%2Fwos%2Fwoscc%2Ffull-record%2FWOS:000173402400045","View Full Record in Web of Science")</f>
        <v>View Full Record in Web of Science</v>
      </c>
    </row>
    <row r="928" spans="1:72" x14ac:dyDescent="0.15">
      <c r="A928" t="s">
        <v>72</v>
      </c>
      <c r="B928" t="s">
        <v>12561</v>
      </c>
      <c r="C928" t="s">
        <v>74</v>
      </c>
      <c r="D928" t="s">
        <v>74</v>
      </c>
      <c r="E928" t="s">
        <v>74</v>
      </c>
      <c r="F928" t="s">
        <v>12561</v>
      </c>
      <c r="G928" t="s">
        <v>74</v>
      </c>
      <c r="H928" t="s">
        <v>74</v>
      </c>
      <c r="I928" t="s">
        <v>12562</v>
      </c>
      <c r="J928" t="s">
        <v>1524</v>
      </c>
      <c r="K928" t="s">
        <v>74</v>
      </c>
      <c r="L928" t="s">
        <v>74</v>
      </c>
      <c r="M928" t="s">
        <v>77</v>
      </c>
      <c r="N928" t="s">
        <v>153</v>
      </c>
      <c r="O928" t="s">
        <v>74</v>
      </c>
      <c r="P928" t="s">
        <v>74</v>
      </c>
      <c r="Q928" t="s">
        <v>74</v>
      </c>
      <c r="R928" t="s">
        <v>74</v>
      </c>
      <c r="S928" t="s">
        <v>74</v>
      </c>
      <c r="T928" t="s">
        <v>74</v>
      </c>
      <c r="U928" t="s">
        <v>12563</v>
      </c>
      <c r="V928" t="s">
        <v>12564</v>
      </c>
      <c r="W928" t="s">
        <v>12565</v>
      </c>
      <c r="X928" t="s">
        <v>12566</v>
      </c>
      <c r="Y928" t="s">
        <v>12567</v>
      </c>
      <c r="Z928" t="s">
        <v>12568</v>
      </c>
      <c r="AA928" t="s">
        <v>12569</v>
      </c>
      <c r="AB928" t="s">
        <v>12570</v>
      </c>
      <c r="AC928" t="s">
        <v>74</v>
      </c>
      <c r="AD928" t="s">
        <v>74</v>
      </c>
      <c r="AE928" t="s">
        <v>74</v>
      </c>
      <c r="AF928" t="s">
        <v>74</v>
      </c>
      <c r="AG928">
        <v>68</v>
      </c>
      <c r="AH928">
        <v>77</v>
      </c>
      <c r="AI928">
        <v>77</v>
      </c>
      <c r="AJ928">
        <v>0</v>
      </c>
      <c r="AK928">
        <v>17</v>
      </c>
      <c r="AL928" t="s">
        <v>161</v>
      </c>
      <c r="AM928" t="s">
        <v>162</v>
      </c>
      <c r="AN928" t="s">
        <v>163</v>
      </c>
      <c r="AO928" t="s">
        <v>1533</v>
      </c>
      <c r="AP928" t="s">
        <v>1534</v>
      </c>
      <c r="AQ928" t="s">
        <v>74</v>
      </c>
      <c r="AR928" t="s">
        <v>1535</v>
      </c>
      <c r="AS928" t="s">
        <v>1536</v>
      </c>
      <c r="AT928" t="s">
        <v>12382</v>
      </c>
      <c r="AU928">
        <v>2001</v>
      </c>
      <c r="AV928">
        <v>106</v>
      </c>
      <c r="AW928" t="s">
        <v>12436</v>
      </c>
      <c r="AX928" t="s">
        <v>74</v>
      </c>
      <c r="AY928" t="s">
        <v>74</v>
      </c>
      <c r="AZ928" t="s">
        <v>74</v>
      </c>
      <c r="BA928" t="s">
        <v>74</v>
      </c>
      <c r="BB928">
        <v>31597</v>
      </c>
      <c r="BC928">
        <v>31609</v>
      </c>
      <c r="BD928" t="s">
        <v>74</v>
      </c>
      <c r="BE928" t="s">
        <v>12571</v>
      </c>
      <c r="BF928" t="str">
        <f>HYPERLINK("http://dx.doi.org/10.1029/2000JC000278","http://dx.doi.org/10.1029/2000JC000278")</f>
        <v>http://dx.doi.org/10.1029/2000JC000278</v>
      </c>
      <c r="BG928" t="s">
        <v>74</v>
      </c>
      <c r="BH928" t="s">
        <v>74</v>
      </c>
      <c r="BI928">
        <v>13</v>
      </c>
      <c r="BJ928" t="s">
        <v>1155</v>
      </c>
      <c r="BK928" t="s">
        <v>170</v>
      </c>
      <c r="BL928" t="s">
        <v>1155</v>
      </c>
      <c r="BM928" t="s">
        <v>12438</v>
      </c>
      <c r="BN928" t="s">
        <v>74</v>
      </c>
      <c r="BO928" t="s">
        <v>74</v>
      </c>
      <c r="BP928" t="s">
        <v>74</v>
      </c>
      <c r="BQ928" t="s">
        <v>74</v>
      </c>
      <c r="BR928" t="s">
        <v>107</v>
      </c>
      <c r="BS928" t="s">
        <v>12572</v>
      </c>
      <c r="BT928" t="str">
        <f>HYPERLINK("https%3A%2F%2Fwww.webofscience.com%2Fwos%2Fwoscc%2Ffull-record%2FWOS:000173402400046","View Full Record in Web of Science")</f>
        <v>View Full Record in Web of Science</v>
      </c>
    </row>
    <row r="929" spans="1:72" x14ac:dyDescent="0.15">
      <c r="A929" t="s">
        <v>72</v>
      </c>
      <c r="B929" t="s">
        <v>12573</v>
      </c>
      <c r="C929" t="s">
        <v>74</v>
      </c>
      <c r="D929" t="s">
        <v>74</v>
      </c>
      <c r="E929" t="s">
        <v>74</v>
      </c>
      <c r="F929" t="s">
        <v>12573</v>
      </c>
      <c r="G929" t="s">
        <v>74</v>
      </c>
      <c r="H929" t="s">
        <v>74</v>
      </c>
      <c r="I929" t="s">
        <v>12574</v>
      </c>
      <c r="J929" t="s">
        <v>1524</v>
      </c>
      <c r="K929" t="s">
        <v>74</v>
      </c>
      <c r="L929" t="s">
        <v>74</v>
      </c>
      <c r="M929" t="s">
        <v>77</v>
      </c>
      <c r="N929" t="s">
        <v>153</v>
      </c>
      <c r="O929" t="s">
        <v>74</v>
      </c>
      <c r="P929" t="s">
        <v>74</v>
      </c>
      <c r="Q929" t="s">
        <v>74</v>
      </c>
      <c r="R929" t="s">
        <v>74</v>
      </c>
      <c r="S929" t="s">
        <v>74</v>
      </c>
      <c r="T929" t="s">
        <v>74</v>
      </c>
      <c r="U929" t="s">
        <v>12575</v>
      </c>
      <c r="V929" t="s">
        <v>12576</v>
      </c>
      <c r="W929" t="s">
        <v>12577</v>
      </c>
      <c r="X929" t="s">
        <v>487</v>
      </c>
      <c r="Y929" t="s">
        <v>12578</v>
      </c>
      <c r="Z929" t="s">
        <v>74</v>
      </c>
      <c r="AA929" t="s">
        <v>12579</v>
      </c>
      <c r="AB929" t="s">
        <v>12580</v>
      </c>
      <c r="AC929" t="s">
        <v>74</v>
      </c>
      <c r="AD929" t="s">
        <v>74</v>
      </c>
      <c r="AE929" t="s">
        <v>74</v>
      </c>
      <c r="AF929" t="s">
        <v>74</v>
      </c>
      <c r="AG929">
        <v>44</v>
      </c>
      <c r="AH929">
        <v>48</v>
      </c>
      <c r="AI929">
        <v>49</v>
      </c>
      <c r="AJ929">
        <v>1</v>
      </c>
      <c r="AK929">
        <v>9</v>
      </c>
      <c r="AL929" t="s">
        <v>161</v>
      </c>
      <c r="AM929" t="s">
        <v>162</v>
      </c>
      <c r="AN929" t="s">
        <v>163</v>
      </c>
      <c r="AO929" t="s">
        <v>1533</v>
      </c>
      <c r="AP929" t="s">
        <v>1534</v>
      </c>
      <c r="AQ929" t="s">
        <v>74</v>
      </c>
      <c r="AR929" t="s">
        <v>1535</v>
      </c>
      <c r="AS929" t="s">
        <v>1536</v>
      </c>
      <c r="AT929" t="s">
        <v>12382</v>
      </c>
      <c r="AU929">
        <v>2001</v>
      </c>
      <c r="AV929">
        <v>106</v>
      </c>
      <c r="AW929" t="s">
        <v>12436</v>
      </c>
      <c r="AX929" t="s">
        <v>74</v>
      </c>
      <c r="AY929" t="s">
        <v>74</v>
      </c>
      <c r="AZ929" t="s">
        <v>74</v>
      </c>
      <c r="BA929" t="s">
        <v>74</v>
      </c>
      <c r="BB929">
        <v>31611</v>
      </c>
      <c r="BC929">
        <v>31625</v>
      </c>
      <c r="BD929" t="s">
        <v>74</v>
      </c>
      <c r="BE929" t="s">
        <v>12581</v>
      </c>
      <c r="BF929" t="str">
        <f>HYPERLINK("http://dx.doi.org/10.1029/2000JC000359","http://dx.doi.org/10.1029/2000JC000359")</f>
        <v>http://dx.doi.org/10.1029/2000JC000359</v>
      </c>
      <c r="BG929" t="s">
        <v>74</v>
      </c>
      <c r="BH929" t="s">
        <v>74</v>
      </c>
      <c r="BI929">
        <v>15</v>
      </c>
      <c r="BJ929" t="s">
        <v>1155</v>
      </c>
      <c r="BK929" t="s">
        <v>170</v>
      </c>
      <c r="BL929" t="s">
        <v>1155</v>
      </c>
      <c r="BM929" t="s">
        <v>12438</v>
      </c>
      <c r="BN929" t="s">
        <v>74</v>
      </c>
      <c r="BO929" t="s">
        <v>173</v>
      </c>
      <c r="BP929" t="s">
        <v>74</v>
      </c>
      <c r="BQ929" t="s">
        <v>74</v>
      </c>
      <c r="BR929" t="s">
        <v>107</v>
      </c>
      <c r="BS929" t="s">
        <v>12582</v>
      </c>
      <c r="BT929" t="str">
        <f>HYPERLINK("https%3A%2F%2Fwww.webofscience.com%2Fwos%2Fwoscc%2Ffull-record%2FWOS:000173402400047","View Full Record in Web of Science")</f>
        <v>View Full Record in Web of Science</v>
      </c>
    </row>
    <row r="930" spans="1:72" x14ac:dyDescent="0.15">
      <c r="A930" t="s">
        <v>72</v>
      </c>
      <c r="B930" t="s">
        <v>12583</v>
      </c>
      <c r="C930" t="s">
        <v>74</v>
      </c>
      <c r="D930" t="s">
        <v>74</v>
      </c>
      <c r="E930" t="s">
        <v>74</v>
      </c>
      <c r="F930" t="s">
        <v>12583</v>
      </c>
      <c r="G930" t="s">
        <v>74</v>
      </c>
      <c r="H930" t="s">
        <v>74</v>
      </c>
      <c r="I930" t="s">
        <v>12584</v>
      </c>
      <c r="J930" t="s">
        <v>1524</v>
      </c>
      <c r="K930" t="s">
        <v>74</v>
      </c>
      <c r="L930" t="s">
        <v>74</v>
      </c>
      <c r="M930" t="s">
        <v>77</v>
      </c>
      <c r="N930" t="s">
        <v>153</v>
      </c>
      <c r="O930" t="s">
        <v>74</v>
      </c>
      <c r="P930" t="s">
        <v>74</v>
      </c>
      <c r="Q930" t="s">
        <v>74</v>
      </c>
      <c r="R930" t="s">
        <v>74</v>
      </c>
      <c r="S930" t="s">
        <v>74</v>
      </c>
      <c r="T930" t="s">
        <v>74</v>
      </c>
      <c r="U930" t="s">
        <v>12585</v>
      </c>
      <c r="V930" t="s">
        <v>12586</v>
      </c>
      <c r="W930" t="s">
        <v>12587</v>
      </c>
      <c r="X930" t="s">
        <v>12588</v>
      </c>
      <c r="Y930" t="s">
        <v>12589</v>
      </c>
      <c r="Z930" t="s">
        <v>12590</v>
      </c>
      <c r="AA930" t="s">
        <v>74</v>
      </c>
      <c r="AB930" t="s">
        <v>12591</v>
      </c>
      <c r="AC930" t="s">
        <v>74</v>
      </c>
      <c r="AD930" t="s">
        <v>74</v>
      </c>
      <c r="AE930" t="s">
        <v>74</v>
      </c>
      <c r="AF930" t="s">
        <v>74</v>
      </c>
      <c r="AG930">
        <v>53</v>
      </c>
      <c r="AH930">
        <v>8</v>
      </c>
      <c r="AI930">
        <v>11</v>
      </c>
      <c r="AJ930">
        <v>0</v>
      </c>
      <c r="AK930">
        <v>16</v>
      </c>
      <c r="AL930" t="s">
        <v>161</v>
      </c>
      <c r="AM930" t="s">
        <v>162</v>
      </c>
      <c r="AN930" t="s">
        <v>163</v>
      </c>
      <c r="AO930" t="s">
        <v>1533</v>
      </c>
      <c r="AP930" t="s">
        <v>1534</v>
      </c>
      <c r="AQ930" t="s">
        <v>74</v>
      </c>
      <c r="AR930" t="s">
        <v>1535</v>
      </c>
      <c r="AS930" t="s">
        <v>1536</v>
      </c>
      <c r="AT930" t="s">
        <v>12382</v>
      </c>
      <c r="AU930">
        <v>2001</v>
      </c>
      <c r="AV930">
        <v>106</v>
      </c>
      <c r="AW930" t="s">
        <v>12436</v>
      </c>
      <c r="AX930" t="s">
        <v>74</v>
      </c>
      <c r="AY930" t="s">
        <v>74</v>
      </c>
      <c r="AZ930" t="s">
        <v>74</v>
      </c>
      <c r="BA930" t="s">
        <v>74</v>
      </c>
      <c r="BB930">
        <v>31657</v>
      </c>
      <c r="BC930">
        <v>31667</v>
      </c>
      <c r="BD930" t="s">
        <v>74</v>
      </c>
      <c r="BE930" t="s">
        <v>12592</v>
      </c>
      <c r="BF930" t="str">
        <f>HYPERLINK("http://dx.doi.org/10.1029/2000JC000326","http://dx.doi.org/10.1029/2000JC000326")</f>
        <v>http://dx.doi.org/10.1029/2000JC000326</v>
      </c>
      <c r="BG930" t="s">
        <v>74</v>
      </c>
      <c r="BH930" t="s">
        <v>74</v>
      </c>
      <c r="BI930">
        <v>11</v>
      </c>
      <c r="BJ930" t="s">
        <v>1155</v>
      </c>
      <c r="BK930" t="s">
        <v>170</v>
      </c>
      <c r="BL930" t="s">
        <v>1155</v>
      </c>
      <c r="BM930" t="s">
        <v>12438</v>
      </c>
      <c r="BN930" t="s">
        <v>74</v>
      </c>
      <c r="BO930" t="s">
        <v>173</v>
      </c>
      <c r="BP930" t="s">
        <v>74</v>
      </c>
      <c r="BQ930" t="s">
        <v>74</v>
      </c>
      <c r="BR930" t="s">
        <v>107</v>
      </c>
      <c r="BS930" t="s">
        <v>12593</v>
      </c>
      <c r="BT930" t="str">
        <f>HYPERLINK("https%3A%2F%2Fwww.webofscience.com%2Fwos%2Fwoscc%2Ffull-record%2FWOS:000173402400050","View Full Record in Web of Science")</f>
        <v>View Full Record in Web of Science</v>
      </c>
    </row>
    <row r="931" spans="1:72" x14ac:dyDescent="0.15">
      <c r="A931" t="s">
        <v>72</v>
      </c>
      <c r="B931" t="s">
        <v>12594</v>
      </c>
      <c r="C931" t="s">
        <v>74</v>
      </c>
      <c r="D931" t="s">
        <v>74</v>
      </c>
      <c r="E931" t="s">
        <v>74</v>
      </c>
      <c r="F931" t="s">
        <v>12594</v>
      </c>
      <c r="G931" t="s">
        <v>74</v>
      </c>
      <c r="H931" t="s">
        <v>74</v>
      </c>
      <c r="I931" t="s">
        <v>12595</v>
      </c>
      <c r="J931" t="s">
        <v>1524</v>
      </c>
      <c r="K931" t="s">
        <v>74</v>
      </c>
      <c r="L931" t="s">
        <v>74</v>
      </c>
      <c r="M931" t="s">
        <v>77</v>
      </c>
      <c r="N931" t="s">
        <v>153</v>
      </c>
      <c r="O931" t="s">
        <v>74</v>
      </c>
      <c r="P931" t="s">
        <v>74</v>
      </c>
      <c r="Q931" t="s">
        <v>74</v>
      </c>
      <c r="R931" t="s">
        <v>74</v>
      </c>
      <c r="S931" t="s">
        <v>74</v>
      </c>
      <c r="T931" t="s">
        <v>74</v>
      </c>
      <c r="U931" t="s">
        <v>12596</v>
      </c>
      <c r="V931" t="s">
        <v>12597</v>
      </c>
      <c r="W931" t="s">
        <v>12598</v>
      </c>
      <c r="X931" t="s">
        <v>12599</v>
      </c>
      <c r="Y931" t="s">
        <v>12600</v>
      </c>
      <c r="Z931" t="s">
        <v>12601</v>
      </c>
      <c r="AA931" t="s">
        <v>12602</v>
      </c>
      <c r="AB931" t="s">
        <v>12603</v>
      </c>
      <c r="AC931" t="s">
        <v>74</v>
      </c>
      <c r="AD931" t="s">
        <v>74</v>
      </c>
      <c r="AE931" t="s">
        <v>74</v>
      </c>
      <c r="AF931" t="s">
        <v>74</v>
      </c>
      <c r="AG931">
        <v>68</v>
      </c>
      <c r="AH931">
        <v>14</v>
      </c>
      <c r="AI931">
        <v>15</v>
      </c>
      <c r="AJ931">
        <v>2</v>
      </c>
      <c r="AK931">
        <v>12</v>
      </c>
      <c r="AL931" t="s">
        <v>161</v>
      </c>
      <c r="AM931" t="s">
        <v>162</v>
      </c>
      <c r="AN931" t="s">
        <v>163</v>
      </c>
      <c r="AO931" t="s">
        <v>1533</v>
      </c>
      <c r="AP931" t="s">
        <v>1534</v>
      </c>
      <c r="AQ931" t="s">
        <v>74</v>
      </c>
      <c r="AR931" t="s">
        <v>1535</v>
      </c>
      <c r="AS931" t="s">
        <v>1536</v>
      </c>
      <c r="AT931" t="s">
        <v>12382</v>
      </c>
      <c r="AU931">
        <v>2001</v>
      </c>
      <c r="AV931">
        <v>106</v>
      </c>
      <c r="AW931" t="s">
        <v>12436</v>
      </c>
      <c r="AX931" t="s">
        <v>74</v>
      </c>
      <c r="AY931" t="s">
        <v>74</v>
      </c>
      <c r="AZ931" t="s">
        <v>74</v>
      </c>
      <c r="BA931" t="s">
        <v>74</v>
      </c>
      <c r="BB931">
        <v>31669</v>
      </c>
      <c r="BC931">
        <v>31684</v>
      </c>
      <c r="BD931" t="s">
        <v>74</v>
      </c>
      <c r="BE931" t="s">
        <v>12604</v>
      </c>
      <c r="BF931" t="str">
        <f>HYPERLINK("http://dx.doi.org/10.1029/2000JC000288","http://dx.doi.org/10.1029/2000JC000288")</f>
        <v>http://dx.doi.org/10.1029/2000JC000288</v>
      </c>
      <c r="BG931" t="s">
        <v>74</v>
      </c>
      <c r="BH931" t="s">
        <v>74</v>
      </c>
      <c r="BI931">
        <v>16</v>
      </c>
      <c r="BJ931" t="s">
        <v>1155</v>
      </c>
      <c r="BK931" t="s">
        <v>170</v>
      </c>
      <c r="BL931" t="s">
        <v>1155</v>
      </c>
      <c r="BM931" t="s">
        <v>12438</v>
      </c>
      <c r="BN931" t="s">
        <v>74</v>
      </c>
      <c r="BO931" t="s">
        <v>173</v>
      </c>
      <c r="BP931" t="s">
        <v>74</v>
      </c>
      <c r="BQ931" t="s">
        <v>74</v>
      </c>
      <c r="BR931" t="s">
        <v>107</v>
      </c>
      <c r="BS931" t="s">
        <v>12605</v>
      </c>
      <c r="BT931" t="str">
        <f>HYPERLINK("https%3A%2F%2Fwww.webofscience.com%2Fwos%2Fwoscc%2Ffull-record%2FWOS:000173402400051","View Full Record in Web of Science")</f>
        <v>View Full Record in Web of Science</v>
      </c>
    </row>
    <row r="932" spans="1:72" x14ac:dyDescent="0.15">
      <c r="A932" t="s">
        <v>72</v>
      </c>
      <c r="B932" t="s">
        <v>12606</v>
      </c>
      <c r="C932" t="s">
        <v>74</v>
      </c>
      <c r="D932" t="s">
        <v>74</v>
      </c>
      <c r="E932" t="s">
        <v>74</v>
      </c>
      <c r="F932" t="s">
        <v>12606</v>
      </c>
      <c r="G932" t="s">
        <v>74</v>
      </c>
      <c r="H932" t="s">
        <v>74</v>
      </c>
      <c r="I932" t="s">
        <v>12607</v>
      </c>
      <c r="J932" t="s">
        <v>1544</v>
      </c>
      <c r="K932" t="s">
        <v>74</v>
      </c>
      <c r="L932" t="s">
        <v>74</v>
      </c>
      <c r="M932" t="s">
        <v>77</v>
      </c>
      <c r="N932" t="s">
        <v>561</v>
      </c>
      <c r="O932" t="s">
        <v>74</v>
      </c>
      <c r="P932" t="s">
        <v>74</v>
      </c>
      <c r="Q932" t="s">
        <v>74</v>
      </c>
      <c r="R932" t="s">
        <v>74</v>
      </c>
      <c r="S932" t="s">
        <v>74</v>
      </c>
      <c r="T932" t="s">
        <v>74</v>
      </c>
      <c r="U932" t="s">
        <v>74</v>
      </c>
      <c r="V932" t="s">
        <v>12608</v>
      </c>
      <c r="W932" t="s">
        <v>74</v>
      </c>
      <c r="X932" t="s">
        <v>74</v>
      </c>
      <c r="Y932" t="s">
        <v>74</v>
      </c>
      <c r="Z932" t="s">
        <v>74</v>
      </c>
      <c r="AA932" t="s">
        <v>12609</v>
      </c>
      <c r="AB932" t="s">
        <v>74</v>
      </c>
      <c r="AC932" t="s">
        <v>74</v>
      </c>
      <c r="AD932" t="s">
        <v>74</v>
      </c>
      <c r="AE932" t="s">
        <v>74</v>
      </c>
      <c r="AF932" t="s">
        <v>74</v>
      </c>
      <c r="AG932">
        <v>1</v>
      </c>
      <c r="AH932">
        <v>4</v>
      </c>
      <c r="AI932">
        <v>4</v>
      </c>
      <c r="AJ932">
        <v>0</v>
      </c>
      <c r="AK932">
        <v>8</v>
      </c>
      <c r="AL932" t="s">
        <v>161</v>
      </c>
      <c r="AM932" t="s">
        <v>162</v>
      </c>
      <c r="AN932" t="s">
        <v>163</v>
      </c>
      <c r="AO932" t="s">
        <v>1554</v>
      </c>
      <c r="AP932" t="s">
        <v>1555</v>
      </c>
      <c r="AQ932" t="s">
        <v>74</v>
      </c>
      <c r="AR932" t="s">
        <v>1556</v>
      </c>
      <c r="AS932" t="s">
        <v>1557</v>
      </c>
      <c r="AT932" t="s">
        <v>12610</v>
      </c>
      <c r="AU932">
        <v>2001</v>
      </c>
      <c r="AV932">
        <v>106</v>
      </c>
      <c r="AW932" t="s">
        <v>12611</v>
      </c>
      <c r="AX932" t="s">
        <v>74</v>
      </c>
      <c r="AY932" t="s">
        <v>74</v>
      </c>
      <c r="AZ932" t="s">
        <v>74</v>
      </c>
      <c r="BA932" t="s">
        <v>74</v>
      </c>
      <c r="BB932">
        <v>30549</v>
      </c>
      <c r="BC932">
        <v>30549</v>
      </c>
      <c r="BD932" t="s">
        <v>74</v>
      </c>
      <c r="BE932" t="s">
        <v>12612</v>
      </c>
      <c r="BF932" t="str">
        <f>HYPERLINK("http://dx.doi.org/10.1029/2001JB001637","http://dx.doi.org/10.1029/2001JB001637")</f>
        <v>http://dx.doi.org/10.1029/2001JB001637</v>
      </c>
      <c r="BG932" t="s">
        <v>74</v>
      </c>
      <c r="BH932" t="s">
        <v>74</v>
      </c>
      <c r="BI932">
        <v>1</v>
      </c>
      <c r="BJ932" t="s">
        <v>556</v>
      </c>
      <c r="BK932" t="s">
        <v>170</v>
      </c>
      <c r="BL932" t="s">
        <v>556</v>
      </c>
      <c r="BM932" t="s">
        <v>12613</v>
      </c>
      <c r="BN932" t="s">
        <v>74</v>
      </c>
      <c r="BO932" t="s">
        <v>2052</v>
      </c>
      <c r="BP932" t="s">
        <v>74</v>
      </c>
      <c r="BQ932" t="s">
        <v>74</v>
      </c>
      <c r="BR932" t="s">
        <v>107</v>
      </c>
      <c r="BS932" t="s">
        <v>12614</v>
      </c>
      <c r="BT932" t="str">
        <f>HYPERLINK("https%3A%2F%2Fwww.webofscience.com%2Fwos%2Fwoscc%2Ffull-record%2FWOS:000173320800007","View Full Record in Web of Science")</f>
        <v>View Full Record in Web of Science</v>
      </c>
    </row>
    <row r="933" spans="1:72" x14ac:dyDescent="0.15">
      <c r="A933" t="s">
        <v>72</v>
      </c>
      <c r="B933" t="s">
        <v>12615</v>
      </c>
      <c r="C933" t="s">
        <v>74</v>
      </c>
      <c r="D933" t="s">
        <v>74</v>
      </c>
      <c r="E933" t="s">
        <v>74</v>
      </c>
      <c r="F933" t="s">
        <v>12615</v>
      </c>
      <c r="G933" t="s">
        <v>74</v>
      </c>
      <c r="H933" t="s">
        <v>74</v>
      </c>
      <c r="I933" t="s">
        <v>12616</v>
      </c>
      <c r="J933" t="s">
        <v>1544</v>
      </c>
      <c r="K933" t="s">
        <v>74</v>
      </c>
      <c r="L933" t="s">
        <v>74</v>
      </c>
      <c r="M933" t="s">
        <v>77</v>
      </c>
      <c r="N933" t="s">
        <v>153</v>
      </c>
      <c r="O933" t="s">
        <v>74</v>
      </c>
      <c r="P933" t="s">
        <v>74</v>
      </c>
      <c r="Q933" t="s">
        <v>74</v>
      </c>
      <c r="R933" t="s">
        <v>74</v>
      </c>
      <c r="S933" t="s">
        <v>74</v>
      </c>
      <c r="T933" t="s">
        <v>74</v>
      </c>
      <c r="U933" t="s">
        <v>12617</v>
      </c>
      <c r="V933" t="s">
        <v>12618</v>
      </c>
      <c r="W933" t="s">
        <v>12619</v>
      </c>
      <c r="X933" t="s">
        <v>12620</v>
      </c>
      <c r="Y933" t="s">
        <v>12621</v>
      </c>
      <c r="Z933" t="s">
        <v>12622</v>
      </c>
      <c r="AA933" t="s">
        <v>12623</v>
      </c>
      <c r="AB933" t="s">
        <v>12624</v>
      </c>
      <c r="AC933" t="s">
        <v>74</v>
      </c>
      <c r="AD933" t="s">
        <v>74</v>
      </c>
      <c r="AE933" t="s">
        <v>74</v>
      </c>
      <c r="AF933" t="s">
        <v>74</v>
      </c>
      <c r="AG933">
        <v>88</v>
      </c>
      <c r="AH933">
        <v>196</v>
      </c>
      <c r="AI933">
        <v>223</v>
      </c>
      <c r="AJ933">
        <v>1</v>
      </c>
      <c r="AK933">
        <v>27</v>
      </c>
      <c r="AL933" t="s">
        <v>161</v>
      </c>
      <c r="AM933" t="s">
        <v>162</v>
      </c>
      <c r="AN933" t="s">
        <v>163</v>
      </c>
      <c r="AO933" t="s">
        <v>1554</v>
      </c>
      <c r="AP933" t="s">
        <v>1555</v>
      </c>
      <c r="AQ933" t="s">
        <v>74</v>
      </c>
      <c r="AR933" t="s">
        <v>1556</v>
      </c>
      <c r="AS933" t="s">
        <v>1557</v>
      </c>
      <c r="AT933" t="s">
        <v>12610</v>
      </c>
      <c r="AU933">
        <v>2001</v>
      </c>
      <c r="AV933">
        <v>106</v>
      </c>
      <c r="AW933" t="s">
        <v>12611</v>
      </c>
      <c r="AX933" t="s">
        <v>74</v>
      </c>
      <c r="AY933" t="s">
        <v>74</v>
      </c>
      <c r="AZ933" t="s">
        <v>74</v>
      </c>
      <c r="BA933" t="s">
        <v>74</v>
      </c>
      <c r="BB933">
        <v>30645</v>
      </c>
      <c r="BC933">
        <v>30670</v>
      </c>
      <c r="BD933" t="s">
        <v>74</v>
      </c>
      <c r="BE933" t="s">
        <v>12625</v>
      </c>
      <c r="BF933" t="str">
        <f>HYPERLINK("http://dx.doi.org/10.1029/2001JB000179","http://dx.doi.org/10.1029/2001JB000179")</f>
        <v>http://dx.doi.org/10.1029/2001JB000179</v>
      </c>
      <c r="BG933" t="s">
        <v>74</v>
      </c>
      <c r="BH933" t="s">
        <v>74</v>
      </c>
      <c r="BI933">
        <v>26</v>
      </c>
      <c r="BJ933" t="s">
        <v>556</v>
      </c>
      <c r="BK933" t="s">
        <v>170</v>
      </c>
      <c r="BL933" t="s">
        <v>556</v>
      </c>
      <c r="BM933" t="s">
        <v>12613</v>
      </c>
      <c r="BN933" t="s">
        <v>74</v>
      </c>
      <c r="BO933" t="s">
        <v>1767</v>
      </c>
      <c r="BP933" t="s">
        <v>74</v>
      </c>
      <c r="BQ933" t="s">
        <v>74</v>
      </c>
      <c r="BR933" t="s">
        <v>107</v>
      </c>
      <c r="BS933" t="s">
        <v>12626</v>
      </c>
      <c r="BT933" t="str">
        <f>HYPERLINK("https%3A%2F%2Fwww.webofscience.com%2Fwos%2Fwoscc%2Ffull-record%2FWOS:000173320800015","View Full Record in Web of Science")</f>
        <v>View Full Record in Web of Science</v>
      </c>
    </row>
    <row r="934" spans="1:72" x14ac:dyDescent="0.15">
      <c r="A934" t="s">
        <v>72</v>
      </c>
      <c r="B934" t="s">
        <v>12627</v>
      </c>
      <c r="C934" t="s">
        <v>74</v>
      </c>
      <c r="D934" t="s">
        <v>74</v>
      </c>
      <c r="E934" t="s">
        <v>74</v>
      </c>
      <c r="F934" t="s">
        <v>12627</v>
      </c>
      <c r="G934" t="s">
        <v>74</v>
      </c>
      <c r="H934" t="s">
        <v>74</v>
      </c>
      <c r="I934" t="s">
        <v>12628</v>
      </c>
      <c r="J934" t="s">
        <v>1544</v>
      </c>
      <c r="K934" t="s">
        <v>74</v>
      </c>
      <c r="L934" t="s">
        <v>74</v>
      </c>
      <c r="M934" t="s">
        <v>77</v>
      </c>
      <c r="N934" t="s">
        <v>153</v>
      </c>
      <c r="O934" t="s">
        <v>74</v>
      </c>
      <c r="P934" t="s">
        <v>74</v>
      </c>
      <c r="Q934" t="s">
        <v>74</v>
      </c>
      <c r="R934" t="s">
        <v>74</v>
      </c>
      <c r="S934" t="s">
        <v>74</v>
      </c>
      <c r="T934" t="s">
        <v>74</v>
      </c>
      <c r="U934" t="s">
        <v>12629</v>
      </c>
      <c r="V934" t="s">
        <v>12630</v>
      </c>
      <c r="W934" t="s">
        <v>12631</v>
      </c>
      <c r="X934" t="s">
        <v>12632</v>
      </c>
      <c r="Y934" t="s">
        <v>12633</v>
      </c>
      <c r="Z934" t="s">
        <v>12634</v>
      </c>
      <c r="AA934" t="s">
        <v>12635</v>
      </c>
      <c r="AB934" t="s">
        <v>12636</v>
      </c>
      <c r="AC934" t="s">
        <v>74</v>
      </c>
      <c r="AD934" t="s">
        <v>74</v>
      </c>
      <c r="AE934" t="s">
        <v>74</v>
      </c>
      <c r="AF934" t="s">
        <v>74</v>
      </c>
      <c r="AG934">
        <v>43</v>
      </c>
      <c r="AH934">
        <v>58</v>
      </c>
      <c r="AI934">
        <v>64</v>
      </c>
      <c r="AJ934">
        <v>0</v>
      </c>
      <c r="AK934">
        <v>15</v>
      </c>
      <c r="AL934" t="s">
        <v>161</v>
      </c>
      <c r="AM934" t="s">
        <v>162</v>
      </c>
      <c r="AN934" t="s">
        <v>163</v>
      </c>
      <c r="AO934" t="s">
        <v>1554</v>
      </c>
      <c r="AP934" t="s">
        <v>1555</v>
      </c>
      <c r="AQ934" t="s">
        <v>74</v>
      </c>
      <c r="AR934" t="s">
        <v>1556</v>
      </c>
      <c r="AS934" t="s">
        <v>1557</v>
      </c>
      <c r="AT934" t="s">
        <v>12610</v>
      </c>
      <c r="AU934">
        <v>2001</v>
      </c>
      <c r="AV934">
        <v>106</v>
      </c>
      <c r="AW934" t="s">
        <v>12611</v>
      </c>
      <c r="AX934" t="s">
        <v>74</v>
      </c>
      <c r="AY934" t="s">
        <v>74</v>
      </c>
      <c r="AZ934" t="s">
        <v>74</v>
      </c>
      <c r="BA934" t="s">
        <v>74</v>
      </c>
      <c r="BB934">
        <v>30849</v>
      </c>
      <c r="BC934">
        <v>30863</v>
      </c>
      <c r="BD934" t="s">
        <v>74</v>
      </c>
      <c r="BE934" t="s">
        <v>12637</v>
      </c>
      <c r="BF934" t="str">
        <f>HYPERLINK("http://dx.doi.org/10.1029/2000JB000011","http://dx.doi.org/10.1029/2000JB000011")</f>
        <v>http://dx.doi.org/10.1029/2000JB000011</v>
      </c>
      <c r="BG934" t="s">
        <v>74</v>
      </c>
      <c r="BH934" t="s">
        <v>74</v>
      </c>
      <c r="BI934">
        <v>15</v>
      </c>
      <c r="BJ934" t="s">
        <v>556</v>
      </c>
      <c r="BK934" t="s">
        <v>170</v>
      </c>
      <c r="BL934" t="s">
        <v>556</v>
      </c>
      <c r="BM934" t="s">
        <v>12613</v>
      </c>
      <c r="BN934" t="s">
        <v>74</v>
      </c>
      <c r="BO934" t="s">
        <v>74</v>
      </c>
      <c r="BP934" t="s">
        <v>74</v>
      </c>
      <c r="BQ934" t="s">
        <v>74</v>
      </c>
      <c r="BR934" t="s">
        <v>107</v>
      </c>
      <c r="BS934" t="s">
        <v>12638</v>
      </c>
      <c r="BT934" t="str">
        <f>HYPERLINK("https%3A%2F%2Fwww.webofscience.com%2Fwos%2Fwoscc%2Ffull-record%2FWOS:000173320800029","View Full Record in Web of Science")</f>
        <v>View Full Record in Web of Science</v>
      </c>
    </row>
    <row r="935" spans="1:72" x14ac:dyDescent="0.15">
      <c r="A935" t="s">
        <v>72</v>
      </c>
      <c r="B935" t="s">
        <v>12639</v>
      </c>
      <c r="C935" t="s">
        <v>74</v>
      </c>
      <c r="D935" t="s">
        <v>74</v>
      </c>
      <c r="E935" t="s">
        <v>74</v>
      </c>
      <c r="F935" t="s">
        <v>12639</v>
      </c>
      <c r="G935" t="s">
        <v>74</v>
      </c>
      <c r="H935" t="s">
        <v>74</v>
      </c>
      <c r="I935" t="s">
        <v>12640</v>
      </c>
      <c r="J935" t="s">
        <v>12641</v>
      </c>
      <c r="K935" t="s">
        <v>74</v>
      </c>
      <c r="L935" t="s">
        <v>74</v>
      </c>
      <c r="M935" t="s">
        <v>77</v>
      </c>
      <c r="N935" t="s">
        <v>947</v>
      </c>
      <c r="O935" t="s">
        <v>74</v>
      </c>
      <c r="P935" t="s">
        <v>74</v>
      </c>
      <c r="Q935" t="s">
        <v>74</v>
      </c>
      <c r="R935" t="s">
        <v>74</v>
      </c>
      <c r="S935" t="s">
        <v>74</v>
      </c>
      <c r="T935" t="s">
        <v>12642</v>
      </c>
      <c r="U935" t="s">
        <v>12643</v>
      </c>
      <c r="V935" t="s">
        <v>12644</v>
      </c>
      <c r="W935" t="s">
        <v>12645</v>
      </c>
      <c r="X935" t="s">
        <v>12646</v>
      </c>
      <c r="Y935" t="s">
        <v>12647</v>
      </c>
      <c r="Z935" t="s">
        <v>12648</v>
      </c>
      <c r="AA935" t="s">
        <v>12649</v>
      </c>
      <c r="AB935" t="s">
        <v>12650</v>
      </c>
      <c r="AC935" t="s">
        <v>74</v>
      </c>
      <c r="AD935" t="s">
        <v>74</v>
      </c>
      <c r="AE935" t="s">
        <v>74</v>
      </c>
      <c r="AF935" t="s">
        <v>74</v>
      </c>
      <c r="AG935">
        <v>101</v>
      </c>
      <c r="AH935">
        <v>224</v>
      </c>
      <c r="AI935">
        <v>228</v>
      </c>
      <c r="AJ935">
        <v>0</v>
      </c>
      <c r="AK935">
        <v>23</v>
      </c>
      <c r="AL935" t="s">
        <v>90</v>
      </c>
      <c r="AM935" t="s">
        <v>91</v>
      </c>
      <c r="AN935" t="s">
        <v>92</v>
      </c>
      <c r="AO935" t="s">
        <v>12651</v>
      </c>
      <c r="AP935" t="s">
        <v>12652</v>
      </c>
      <c r="AQ935" t="s">
        <v>74</v>
      </c>
      <c r="AR935" t="s">
        <v>12653</v>
      </c>
      <c r="AS935" t="s">
        <v>12654</v>
      </c>
      <c r="AT935" t="s">
        <v>12610</v>
      </c>
      <c r="AU935">
        <v>2001</v>
      </c>
      <c r="AV935">
        <v>112</v>
      </c>
      <c r="AW935" t="s">
        <v>436</v>
      </c>
      <c r="AX935" t="s">
        <v>74</v>
      </c>
      <c r="AY935" t="s">
        <v>74</v>
      </c>
      <c r="AZ935" t="s">
        <v>74</v>
      </c>
      <c r="BA935" t="s">
        <v>74</v>
      </c>
      <c r="BB935">
        <v>183</v>
      </c>
      <c r="BC935">
        <v>210</v>
      </c>
      <c r="BD935" t="s">
        <v>74</v>
      </c>
      <c r="BE935" t="s">
        <v>12655</v>
      </c>
      <c r="BF935" t="str">
        <f>HYPERLINK("http://dx.doi.org/10.1016/S0301-9268(01)00146-2","http://dx.doi.org/10.1016/S0301-9268(01)00146-2")</f>
        <v>http://dx.doi.org/10.1016/S0301-9268(01)00146-2</v>
      </c>
      <c r="BG935" t="s">
        <v>74</v>
      </c>
      <c r="BH935" t="s">
        <v>74</v>
      </c>
      <c r="BI935">
        <v>28</v>
      </c>
      <c r="BJ935" t="s">
        <v>608</v>
      </c>
      <c r="BK935" t="s">
        <v>170</v>
      </c>
      <c r="BL935" t="s">
        <v>439</v>
      </c>
      <c r="BM935" t="s">
        <v>12656</v>
      </c>
      <c r="BN935" t="s">
        <v>74</v>
      </c>
      <c r="BO935" t="s">
        <v>74</v>
      </c>
      <c r="BP935" t="s">
        <v>74</v>
      </c>
      <c r="BQ935" t="s">
        <v>74</v>
      </c>
      <c r="BR935" t="s">
        <v>107</v>
      </c>
      <c r="BS935" t="s">
        <v>12657</v>
      </c>
      <c r="BT935" t="str">
        <f>HYPERLINK("https%3A%2F%2Fwww.webofscience.com%2Fwos%2Fwoscc%2Ffull-record%2FWOS:000172497100002","View Full Record in Web of Science")</f>
        <v>View Full Record in Web of Science</v>
      </c>
    </row>
    <row r="936" spans="1:72" x14ac:dyDescent="0.15">
      <c r="A936" t="s">
        <v>72</v>
      </c>
      <c r="B936" t="s">
        <v>12658</v>
      </c>
      <c r="C936" t="s">
        <v>74</v>
      </c>
      <c r="D936" t="s">
        <v>74</v>
      </c>
      <c r="E936" t="s">
        <v>74</v>
      </c>
      <c r="F936" t="s">
        <v>12658</v>
      </c>
      <c r="G936" t="s">
        <v>74</v>
      </c>
      <c r="H936" t="s">
        <v>74</v>
      </c>
      <c r="I936" t="s">
        <v>12659</v>
      </c>
      <c r="J936" t="s">
        <v>12641</v>
      </c>
      <c r="K936" t="s">
        <v>74</v>
      </c>
      <c r="L936" t="s">
        <v>74</v>
      </c>
      <c r="M936" t="s">
        <v>77</v>
      </c>
      <c r="N936" t="s">
        <v>153</v>
      </c>
      <c r="O936" t="s">
        <v>74</v>
      </c>
      <c r="P936" t="s">
        <v>74</v>
      </c>
      <c r="Q936" t="s">
        <v>74</v>
      </c>
      <c r="R936" t="s">
        <v>74</v>
      </c>
      <c r="S936" t="s">
        <v>74</v>
      </c>
      <c r="T936" t="s">
        <v>12660</v>
      </c>
      <c r="U936" t="s">
        <v>12661</v>
      </c>
      <c r="V936" t="s">
        <v>12662</v>
      </c>
      <c r="W936" t="s">
        <v>12663</v>
      </c>
      <c r="X936" t="s">
        <v>12664</v>
      </c>
      <c r="Y936" t="s">
        <v>12665</v>
      </c>
      <c r="Z936" t="s">
        <v>12666</v>
      </c>
      <c r="AA936" t="s">
        <v>12667</v>
      </c>
      <c r="AB936" t="s">
        <v>12668</v>
      </c>
      <c r="AC936" t="s">
        <v>74</v>
      </c>
      <c r="AD936" t="s">
        <v>74</v>
      </c>
      <c r="AE936" t="s">
        <v>74</v>
      </c>
      <c r="AF936" t="s">
        <v>74</v>
      </c>
      <c r="AG936">
        <v>73</v>
      </c>
      <c r="AH936">
        <v>105</v>
      </c>
      <c r="AI936">
        <v>124</v>
      </c>
      <c r="AJ936">
        <v>0</v>
      </c>
      <c r="AK936">
        <v>8</v>
      </c>
      <c r="AL936" t="s">
        <v>90</v>
      </c>
      <c r="AM936" t="s">
        <v>91</v>
      </c>
      <c r="AN936" t="s">
        <v>92</v>
      </c>
      <c r="AO936" t="s">
        <v>12651</v>
      </c>
      <c r="AP936" t="s">
        <v>12652</v>
      </c>
      <c r="AQ936" t="s">
        <v>74</v>
      </c>
      <c r="AR936" t="s">
        <v>12653</v>
      </c>
      <c r="AS936" t="s">
        <v>12654</v>
      </c>
      <c r="AT936" t="s">
        <v>12610</v>
      </c>
      <c r="AU936">
        <v>2001</v>
      </c>
      <c r="AV936">
        <v>112</v>
      </c>
      <c r="AW936" t="s">
        <v>436</v>
      </c>
      <c r="AX936" t="s">
        <v>74</v>
      </c>
      <c r="AY936" t="s">
        <v>74</v>
      </c>
      <c r="AZ936" t="s">
        <v>74</v>
      </c>
      <c r="BA936" t="s">
        <v>74</v>
      </c>
      <c r="BB936">
        <v>261</v>
      </c>
      <c r="BC936">
        <v>288</v>
      </c>
      <c r="BD936" t="s">
        <v>74</v>
      </c>
      <c r="BE936" t="s">
        <v>12669</v>
      </c>
      <c r="BF936" t="str">
        <f>HYPERLINK("http://dx.doi.org/10.1016/S0301-9268(01)00193-0","http://dx.doi.org/10.1016/S0301-9268(01)00193-0")</f>
        <v>http://dx.doi.org/10.1016/S0301-9268(01)00193-0</v>
      </c>
      <c r="BG936" t="s">
        <v>74</v>
      </c>
      <c r="BH936" t="s">
        <v>74</v>
      </c>
      <c r="BI936">
        <v>28</v>
      </c>
      <c r="BJ936" t="s">
        <v>608</v>
      </c>
      <c r="BK936" t="s">
        <v>170</v>
      </c>
      <c r="BL936" t="s">
        <v>439</v>
      </c>
      <c r="BM936" t="s">
        <v>12656</v>
      </c>
      <c r="BN936" t="s">
        <v>74</v>
      </c>
      <c r="BO936" t="s">
        <v>74</v>
      </c>
      <c r="BP936" t="s">
        <v>74</v>
      </c>
      <c r="BQ936" t="s">
        <v>74</v>
      </c>
      <c r="BR936" t="s">
        <v>107</v>
      </c>
      <c r="BS936" t="s">
        <v>12670</v>
      </c>
      <c r="BT936" t="str">
        <f>HYPERLINK("https%3A%2F%2Fwww.webofscience.com%2Fwos%2Fwoscc%2Ffull-record%2FWOS:000172497100005","View Full Record in Web of Science")</f>
        <v>View Full Record in Web of Science</v>
      </c>
    </row>
    <row r="937" spans="1:72" x14ac:dyDescent="0.15">
      <c r="A937" t="s">
        <v>72</v>
      </c>
      <c r="B937" t="s">
        <v>12671</v>
      </c>
      <c r="C937" t="s">
        <v>74</v>
      </c>
      <c r="D937" t="s">
        <v>74</v>
      </c>
      <c r="E937" t="s">
        <v>74</v>
      </c>
      <c r="F937" t="s">
        <v>12671</v>
      </c>
      <c r="G937" t="s">
        <v>74</v>
      </c>
      <c r="H937" t="s">
        <v>74</v>
      </c>
      <c r="I937" t="s">
        <v>12672</v>
      </c>
      <c r="J937" t="s">
        <v>3208</v>
      </c>
      <c r="K937" t="s">
        <v>74</v>
      </c>
      <c r="L937" t="s">
        <v>74</v>
      </c>
      <c r="M937" t="s">
        <v>77</v>
      </c>
      <c r="N937" t="s">
        <v>1790</v>
      </c>
      <c r="O937" t="s">
        <v>74</v>
      </c>
      <c r="P937" t="s">
        <v>74</v>
      </c>
      <c r="Q937" t="s">
        <v>74</v>
      </c>
      <c r="R937" t="s">
        <v>74</v>
      </c>
      <c r="S937" t="s">
        <v>74</v>
      </c>
      <c r="T937" t="s">
        <v>74</v>
      </c>
      <c r="U937" t="s">
        <v>74</v>
      </c>
      <c r="V937" t="s">
        <v>74</v>
      </c>
      <c r="W937" t="s">
        <v>74</v>
      </c>
      <c r="X937" t="s">
        <v>74</v>
      </c>
      <c r="Y937" t="s">
        <v>74</v>
      </c>
      <c r="Z937" t="s">
        <v>74</v>
      </c>
      <c r="AA937" t="s">
        <v>74</v>
      </c>
      <c r="AB937" t="s">
        <v>74</v>
      </c>
      <c r="AC937" t="s">
        <v>74</v>
      </c>
      <c r="AD937" t="s">
        <v>74</v>
      </c>
      <c r="AE937" t="s">
        <v>74</v>
      </c>
      <c r="AF937" t="s">
        <v>74</v>
      </c>
      <c r="AG937">
        <v>0</v>
      </c>
      <c r="AH937">
        <v>1</v>
      </c>
      <c r="AI937">
        <v>1</v>
      </c>
      <c r="AJ937">
        <v>0</v>
      </c>
      <c r="AK937">
        <v>1</v>
      </c>
      <c r="AL937" t="s">
        <v>12673</v>
      </c>
      <c r="AM937" t="s">
        <v>1127</v>
      </c>
      <c r="AN937" t="s">
        <v>12674</v>
      </c>
      <c r="AO937" t="s">
        <v>3216</v>
      </c>
      <c r="AP937" t="s">
        <v>74</v>
      </c>
      <c r="AQ937" t="s">
        <v>74</v>
      </c>
      <c r="AR937" t="s">
        <v>3208</v>
      </c>
      <c r="AS937" t="s">
        <v>3218</v>
      </c>
      <c r="AT937" t="s">
        <v>12675</v>
      </c>
      <c r="AU937">
        <v>2001</v>
      </c>
      <c r="AV937">
        <v>414</v>
      </c>
      <c r="AW937">
        <v>6864</v>
      </c>
      <c r="AX937" t="s">
        <v>74</v>
      </c>
      <c r="AY937" t="s">
        <v>74</v>
      </c>
      <c r="AZ937" t="s">
        <v>74</v>
      </c>
      <c r="BA937" t="s">
        <v>74</v>
      </c>
      <c r="BB937">
        <v>573</v>
      </c>
      <c r="BC937">
        <v>573</v>
      </c>
      <c r="BD937" t="s">
        <v>74</v>
      </c>
      <c r="BE937" t="s">
        <v>12676</v>
      </c>
      <c r="BF937" t="str">
        <f>HYPERLINK("http://dx.doi.org/10.1038/414573a","http://dx.doi.org/10.1038/414573a")</f>
        <v>http://dx.doi.org/10.1038/414573a</v>
      </c>
      <c r="BG937" t="s">
        <v>74</v>
      </c>
      <c r="BH937" t="s">
        <v>74</v>
      </c>
      <c r="BI937">
        <v>1</v>
      </c>
      <c r="BJ937" t="s">
        <v>662</v>
      </c>
      <c r="BK937" t="s">
        <v>170</v>
      </c>
      <c r="BL937" t="s">
        <v>663</v>
      </c>
      <c r="BM937" t="s">
        <v>12677</v>
      </c>
      <c r="BN937">
        <v>11740519</v>
      </c>
      <c r="BO937" t="s">
        <v>173</v>
      </c>
      <c r="BP937" t="s">
        <v>74</v>
      </c>
      <c r="BQ937" t="s">
        <v>74</v>
      </c>
      <c r="BR937" t="s">
        <v>107</v>
      </c>
      <c r="BS937" t="s">
        <v>12678</v>
      </c>
      <c r="BT937" t="str">
        <f>HYPERLINK("https%3A%2F%2Fwww.webofscience.com%2Fwos%2Fwoscc%2Ffull-record%2FWOS:000172535600011","View Full Record in Web of Science")</f>
        <v>View Full Record in Web of Science</v>
      </c>
    </row>
    <row r="938" spans="1:72" x14ac:dyDescent="0.15">
      <c r="A938" t="s">
        <v>72</v>
      </c>
      <c r="B938" t="s">
        <v>12679</v>
      </c>
      <c r="C938" t="s">
        <v>74</v>
      </c>
      <c r="D938" t="s">
        <v>74</v>
      </c>
      <c r="E938" t="s">
        <v>74</v>
      </c>
      <c r="F938" t="s">
        <v>12679</v>
      </c>
      <c r="G938" t="s">
        <v>74</v>
      </c>
      <c r="H938" t="s">
        <v>74</v>
      </c>
      <c r="I938" t="s">
        <v>12680</v>
      </c>
      <c r="J938" t="s">
        <v>3208</v>
      </c>
      <c r="K938" t="s">
        <v>74</v>
      </c>
      <c r="L938" t="s">
        <v>74</v>
      </c>
      <c r="M938" t="s">
        <v>77</v>
      </c>
      <c r="N938" t="s">
        <v>947</v>
      </c>
      <c r="O938" t="s">
        <v>74</v>
      </c>
      <c r="P938" t="s">
        <v>74</v>
      </c>
      <c r="Q938" t="s">
        <v>74</v>
      </c>
      <c r="R938" t="s">
        <v>74</v>
      </c>
      <c r="S938" t="s">
        <v>74</v>
      </c>
      <c r="T938" t="s">
        <v>74</v>
      </c>
      <c r="U938" t="s">
        <v>12681</v>
      </c>
      <c r="V938" t="s">
        <v>12682</v>
      </c>
      <c r="W938" t="s">
        <v>12683</v>
      </c>
      <c r="X938" t="s">
        <v>12684</v>
      </c>
      <c r="Y938" t="s">
        <v>12685</v>
      </c>
      <c r="Z938" t="s">
        <v>12686</v>
      </c>
      <c r="AA938" t="s">
        <v>12687</v>
      </c>
      <c r="AB938" t="s">
        <v>12688</v>
      </c>
      <c r="AC938" t="s">
        <v>74</v>
      </c>
      <c r="AD938" t="s">
        <v>74</v>
      </c>
      <c r="AE938" t="s">
        <v>74</v>
      </c>
      <c r="AF938" t="s">
        <v>74</v>
      </c>
      <c r="AG938">
        <v>47</v>
      </c>
      <c r="AH938">
        <v>149</v>
      </c>
      <c r="AI938">
        <v>168</v>
      </c>
      <c r="AJ938">
        <v>7</v>
      </c>
      <c r="AK938">
        <v>132</v>
      </c>
      <c r="AL938" t="s">
        <v>3214</v>
      </c>
      <c r="AM938" t="s">
        <v>1127</v>
      </c>
      <c r="AN938" t="s">
        <v>3215</v>
      </c>
      <c r="AO938" t="s">
        <v>3216</v>
      </c>
      <c r="AP938" t="s">
        <v>3217</v>
      </c>
      <c r="AQ938" t="s">
        <v>74</v>
      </c>
      <c r="AR938" t="s">
        <v>3208</v>
      </c>
      <c r="AS938" t="s">
        <v>3218</v>
      </c>
      <c r="AT938" t="s">
        <v>12675</v>
      </c>
      <c r="AU938">
        <v>2001</v>
      </c>
      <c r="AV938">
        <v>414</v>
      </c>
      <c r="AW938">
        <v>6864</v>
      </c>
      <c r="AX938" t="s">
        <v>74</v>
      </c>
      <c r="AY938" t="s">
        <v>74</v>
      </c>
      <c r="AZ938" t="s">
        <v>74</v>
      </c>
      <c r="BA938" t="s">
        <v>74</v>
      </c>
      <c r="BB938">
        <v>603</v>
      </c>
      <c r="BC938">
        <v>609</v>
      </c>
      <c r="BD938" t="s">
        <v>74</v>
      </c>
      <c r="BE938" t="s">
        <v>12689</v>
      </c>
      <c r="BF938" t="str">
        <f>HYPERLINK("http://dx.doi.org/10.1038/414603a","http://dx.doi.org/10.1038/414603a")</f>
        <v>http://dx.doi.org/10.1038/414603a</v>
      </c>
      <c r="BG938" t="s">
        <v>74</v>
      </c>
      <c r="BH938" t="s">
        <v>74</v>
      </c>
      <c r="BI938">
        <v>7</v>
      </c>
      <c r="BJ938" t="s">
        <v>662</v>
      </c>
      <c r="BK938" t="s">
        <v>170</v>
      </c>
      <c r="BL938" t="s">
        <v>663</v>
      </c>
      <c r="BM938" t="s">
        <v>12677</v>
      </c>
      <c r="BN938">
        <v>11740551</v>
      </c>
      <c r="BO938" t="s">
        <v>74</v>
      </c>
      <c r="BP938" t="s">
        <v>74</v>
      </c>
      <c r="BQ938" t="s">
        <v>74</v>
      </c>
      <c r="BR938" t="s">
        <v>107</v>
      </c>
      <c r="BS938" t="s">
        <v>12690</v>
      </c>
      <c r="BT938" t="str">
        <f>HYPERLINK("https%3A%2F%2Fwww.webofscience.com%2Fwos%2Fwoscc%2Ffull-record%2FWOS:000172535600039","View Full Record in Web of Science")</f>
        <v>View Full Record in Web of Science</v>
      </c>
    </row>
    <row r="939" spans="1:72" x14ac:dyDescent="0.15">
      <c r="A939" t="s">
        <v>72</v>
      </c>
      <c r="B939" t="s">
        <v>12691</v>
      </c>
      <c r="C939" t="s">
        <v>74</v>
      </c>
      <c r="D939" t="s">
        <v>74</v>
      </c>
      <c r="E939" t="s">
        <v>74</v>
      </c>
      <c r="F939" t="s">
        <v>12691</v>
      </c>
      <c r="G939" t="s">
        <v>74</v>
      </c>
      <c r="H939" t="s">
        <v>74</v>
      </c>
      <c r="I939" t="s">
        <v>12692</v>
      </c>
      <c r="J939" t="s">
        <v>514</v>
      </c>
      <c r="K939" t="s">
        <v>74</v>
      </c>
      <c r="L939" t="s">
        <v>74</v>
      </c>
      <c r="M939" t="s">
        <v>77</v>
      </c>
      <c r="N939" t="s">
        <v>153</v>
      </c>
      <c r="O939" t="s">
        <v>74</v>
      </c>
      <c r="P939" t="s">
        <v>74</v>
      </c>
      <c r="Q939" t="s">
        <v>74</v>
      </c>
      <c r="R939" t="s">
        <v>74</v>
      </c>
      <c r="S939" t="s">
        <v>74</v>
      </c>
      <c r="T939" t="s">
        <v>12693</v>
      </c>
      <c r="U939" t="s">
        <v>12694</v>
      </c>
      <c r="V939" t="s">
        <v>12695</v>
      </c>
      <c r="W939" t="s">
        <v>12696</v>
      </c>
      <c r="X939" t="s">
        <v>12697</v>
      </c>
      <c r="Y939" t="s">
        <v>12698</v>
      </c>
      <c r="Z939" t="s">
        <v>12699</v>
      </c>
      <c r="AA939" t="s">
        <v>12700</v>
      </c>
      <c r="AB939" t="s">
        <v>12701</v>
      </c>
      <c r="AC939" t="s">
        <v>74</v>
      </c>
      <c r="AD939" t="s">
        <v>74</v>
      </c>
      <c r="AE939" t="s">
        <v>74</v>
      </c>
      <c r="AF939" t="s">
        <v>74</v>
      </c>
      <c r="AG939">
        <v>56</v>
      </c>
      <c r="AH939">
        <v>22</v>
      </c>
      <c r="AI939">
        <v>24</v>
      </c>
      <c r="AJ939">
        <v>0</v>
      </c>
      <c r="AK939">
        <v>6</v>
      </c>
      <c r="AL939" t="s">
        <v>523</v>
      </c>
      <c r="AM939" t="s">
        <v>524</v>
      </c>
      <c r="AN939" t="s">
        <v>525</v>
      </c>
      <c r="AO939" t="s">
        <v>526</v>
      </c>
      <c r="AP939" t="s">
        <v>527</v>
      </c>
      <c r="AQ939" t="s">
        <v>74</v>
      </c>
      <c r="AR939" t="s">
        <v>528</v>
      </c>
      <c r="AS939" t="s">
        <v>529</v>
      </c>
      <c r="AT939" t="s">
        <v>12702</v>
      </c>
      <c r="AU939">
        <v>2001</v>
      </c>
      <c r="AV939">
        <v>26</v>
      </c>
      <c r="AW939">
        <v>2</v>
      </c>
      <c r="AX939" t="s">
        <v>74</v>
      </c>
      <c r="AY939" t="s">
        <v>74</v>
      </c>
      <c r="AZ939" t="s">
        <v>74</v>
      </c>
      <c r="BA939" t="s">
        <v>74</v>
      </c>
      <c r="BB939">
        <v>115</v>
      </c>
      <c r="BC939">
        <v>125</v>
      </c>
      <c r="BD939" t="s">
        <v>74</v>
      </c>
      <c r="BE939" t="s">
        <v>12703</v>
      </c>
      <c r="BF939" t="str">
        <f>HYPERLINK("http://dx.doi.org/10.3354/ame026115","http://dx.doi.org/10.3354/ame026115")</f>
        <v>http://dx.doi.org/10.3354/ame026115</v>
      </c>
      <c r="BG939" t="s">
        <v>74</v>
      </c>
      <c r="BH939" t="s">
        <v>74</v>
      </c>
      <c r="BI939">
        <v>11</v>
      </c>
      <c r="BJ939" t="s">
        <v>532</v>
      </c>
      <c r="BK939" t="s">
        <v>170</v>
      </c>
      <c r="BL939" t="s">
        <v>533</v>
      </c>
      <c r="BM939" t="s">
        <v>12704</v>
      </c>
      <c r="BN939" t="s">
        <v>74</v>
      </c>
      <c r="BO939" t="s">
        <v>535</v>
      </c>
      <c r="BP939" t="s">
        <v>74</v>
      </c>
      <c r="BQ939" t="s">
        <v>74</v>
      </c>
      <c r="BR939" t="s">
        <v>107</v>
      </c>
      <c r="BS939" t="s">
        <v>12705</v>
      </c>
      <c r="BT939" t="str">
        <f>HYPERLINK("https%3A%2F%2Fwww.webofscience.com%2Fwos%2Fwoscc%2Ffull-record%2FWOS:000172941500002","View Full Record in Web of Science")</f>
        <v>View Full Record in Web of Science</v>
      </c>
    </row>
    <row r="940" spans="1:72" x14ac:dyDescent="0.15">
      <c r="A940" t="s">
        <v>72</v>
      </c>
      <c r="B940" t="s">
        <v>12706</v>
      </c>
      <c r="C940" t="s">
        <v>74</v>
      </c>
      <c r="D940" t="s">
        <v>74</v>
      </c>
      <c r="E940" t="s">
        <v>74</v>
      </c>
      <c r="F940" t="s">
        <v>12706</v>
      </c>
      <c r="G940" t="s">
        <v>74</v>
      </c>
      <c r="H940" t="s">
        <v>74</v>
      </c>
      <c r="I940" t="s">
        <v>12707</v>
      </c>
      <c r="J940" t="s">
        <v>514</v>
      </c>
      <c r="K940" t="s">
        <v>74</v>
      </c>
      <c r="L940" t="s">
        <v>74</v>
      </c>
      <c r="M940" t="s">
        <v>77</v>
      </c>
      <c r="N940" t="s">
        <v>153</v>
      </c>
      <c r="O940" t="s">
        <v>74</v>
      </c>
      <c r="P940" t="s">
        <v>74</v>
      </c>
      <c r="Q940" t="s">
        <v>74</v>
      </c>
      <c r="R940" t="s">
        <v>74</v>
      </c>
      <c r="S940" t="s">
        <v>74</v>
      </c>
      <c r="T940" t="s">
        <v>12708</v>
      </c>
      <c r="U940" t="s">
        <v>12709</v>
      </c>
      <c r="V940" t="s">
        <v>12710</v>
      </c>
      <c r="W940" t="s">
        <v>12696</v>
      </c>
      <c r="X940" t="s">
        <v>12697</v>
      </c>
      <c r="Y940" t="s">
        <v>12711</v>
      </c>
      <c r="Z940" t="s">
        <v>74</v>
      </c>
      <c r="AA940" t="s">
        <v>12700</v>
      </c>
      <c r="AB940" t="s">
        <v>12701</v>
      </c>
      <c r="AC940" t="s">
        <v>74</v>
      </c>
      <c r="AD940" t="s">
        <v>74</v>
      </c>
      <c r="AE940" t="s">
        <v>74</v>
      </c>
      <c r="AF940" t="s">
        <v>74</v>
      </c>
      <c r="AG940">
        <v>44</v>
      </c>
      <c r="AH940">
        <v>12</v>
      </c>
      <c r="AI940">
        <v>12</v>
      </c>
      <c r="AJ940">
        <v>0</v>
      </c>
      <c r="AK940">
        <v>6</v>
      </c>
      <c r="AL940" t="s">
        <v>523</v>
      </c>
      <c r="AM940" t="s">
        <v>524</v>
      </c>
      <c r="AN940" t="s">
        <v>525</v>
      </c>
      <c r="AO940" t="s">
        <v>526</v>
      </c>
      <c r="AP940" t="s">
        <v>74</v>
      </c>
      <c r="AQ940" t="s">
        <v>74</v>
      </c>
      <c r="AR940" t="s">
        <v>528</v>
      </c>
      <c r="AS940" t="s">
        <v>529</v>
      </c>
      <c r="AT940" t="s">
        <v>12702</v>
      </c>
      <c r="AU940">
        <v>2001</v>
      </c>
      <c r="AV940">
        <v>26</v>
      </c>
      <c r="AW940">
        <v>2</v>
      </c>
      <c r="AX940" t="s">
        <v>74</v>
      </c>
      <c r="AY940" t="s">
        <v>74</v>
      </c>
      <c r="AZ940" t="s">
        <v>74</v>
      </c>
      <c r="BA940" t="s">
        <v>74</v>
      </c>
      <c r="BB940">
        <v>127</v>
      </c>
      <c r="BC940">
        <v>138</v>
      </c>
      <c r="BD940" t="s">
        <v>74</v>
      </c>
      <c r="BE940" t="s">
        <v>12712</v>
      </c>
      <c r="BF940" t="str">
        <f>HYPERLINK("http://dx.doi.org/10.3354/ame026127","http://dx.doi.org/10.3354/ame026127")</f>
        <v>http://dx.doi.org/10.3354/ame026127</v>
      </c>
      <c r="BG940" t="s">
        <v>74</v>
      </c>
      <c r="BH940" t="s">
        <v>74</v>
      </c>
      <c r="BI940">
        <v>12</v>
      </c>
      <c r="BJ940" t="s">
        <v>532</v>
      </c>
      <c r="BK940" t="s">
        <v>170</v>
      </c>
      <c r="BL940" t="s">
        <v>533</v>
      </c>
      <c r="BM940" t="s">
        <v>12704</v>
      </c>
      <c r="BN940" t="s">
        <v>74</v>
      </c>
      <c r="BO940" t="s">
        <v>1767</v>
      </c>
      <c r="BP940" t="s">
        <v>74</v>
      </c>
      <c r="BQ940" t="s">
        <v>74</v>
      </c>
      <c r="BR940" t="s">
        <v>107</v>
      </c>
      <c r="BS940" t="s">
        <v>12713</v>
      </c>
      <c r="BT940" t="str">
        <f>HYPERLINK("https%3A%2F%2Fwww.webofscience.com%2Fwos%2Fwoscc%2Ffull-record%2FWOS:000172941500003","View Full Record in Web of Science")</f>
        <v>View Full Record in Web of Science</v>
      </c>
    </row>
    <row r="941" spans="1:72" x14ac:dyDescent="0.15">
      <c r="A941" t="s">
        <v>72</v>
      </c>
      <c r="B941" t="s">
        <v>12714</v>
      </c>
      <c r="C941" t="s">
        <v>74</v>
      </c>
      <c r="D941" t="s">
        <v>74</v>
      </c>
      <c r="E941" t="s">
        <v>74</v>
      </c>
      <c r="F941" t="s">
        <v>12714</v>
      </c>
      <c r="G941" t="s">
        <v>74</v>
      </c>
      <c r="H941" t="s">
        <v>74</v>
      </c>
      <c r="I941" t="s">
        <v>12715</v>
      </c>
      <c r="J941" t="s">
        <v>669</v>
      </c>
      <c r="K941" t="s">
        <v>74</v>
      </c>
      <c r="L941" t="s">
        <v>74</v>
      </c>
      <c r="M941" t="s">
        <v>77</v>
      </c>
      <c r="N941" t="s">
        <v>153</v>
      </c>
      <c r="O941" t="s">
        <v>74</v>
      </c>
      <c r="P941" t="s">
        <v>74</v>
      </c>
      <c r="Q941" t="s">
        <v>74</v>
      </c>
      <c r="R941" t="s">
        <v>74</v>
      </c>
      <c r="S941" t="s">
        <v>74</v>
      </c>
      <c r="T941" t="s">
        <v>74</v>
      </c>
      <c r="U941" t="s">
        <v>12716</v>
      </c>
      <c r="V941" t="s">
        <v>12717</v>
      </c>
      <c r="W941" t="s">
        <v>12718</v>
      </c>
      <c r="X941" t="s">
        <v>12719</v>
      </c>
      <c r="Y941" t="s">
        <v>4963</v>
      </c>
      <c r="Z941" t="s">
        <v>12720</v>
      </c>
      <c r="AA941" t="s">
        <v>12721</v>
      </c>
      <c r="AB941" t="s">
        <v>74</v>
      </c>
      <c r="AC941" t="s">
        <v>74</v>
      </c>
      <c r="AD941" t="s">
        <v>74</v>
      </c>
      <c r="AE941" t="s">
        <v>74</v>
      </c>
      <c r="AF941" t="s">
        <v>74</v>
      </c>
      <c r="AG941">
        <v>84</v>
      </c>
      <c r="AH941">
        <v>37</v>
      </c>
      <c r="AI941">
        <v>42</v>
      </c>
      <c r="AJ941">
        <v>2</v>
      </c>
      <c r="AK941">
        <v>16</v>
      </c>
      <c r="AL941" t="s">
        <v>678</v>
      </c>
      <c r="AM941" t="s">
        <v>162</v>
      </c>
      <c r="AN941" t="s">
        <v>679</v>
      </c>
      <c r="AO941" t="s">
        <v>680</v>
      </c>
      <c r="AP941" t="s">
        <v>74</v>
      </c>
      <c r="AQ941" t="s">
        <v>74</v>
      </c>
      <c r="AR941" t="s">
        <v>681</v>
      </c>
      <c r="AS941" t="s">
        <v>682</v>
      </c>
      <c r="AT941" t="s">
        <v>12722</v>
      </c>
      <c r="AU941">
        <v>2001</v>
      </c>
      <c r="AV941">
        <v>98</v>
      </c>
      <c r="AW941">
        <v>25</v>
      </c>
      <c r="AX941" t="s">
        <v>74</v>
      </c>
      <c r="AY941" t="s">
        <v>74</v>
      </c>
      <c r="AZ941" t="s">
        <v>74</v>
      </c>
      <c r="BA941" t="s">
        <v>74</v>
      </c>
      <c r="BB941">
        <v>14493</v>
      </c>
      <c r="BC941">
        <v>14496</v>
      </c>
      <c r="BD941" t="s">
        <v>74</v>
      </c>
      <c r="BE941" t="s">
        <v>12723</v>
      </c>
      <c r="BF941" t="str">
        <f>HYPERLINK("http://dx.doi.org/10.1073/pnas.251332098","http://dx.doi.org/10.1073/pnas.251332098")</f>
        <v>http://dx.doi.org/10.1073/pnas.251332098</v>
      </c>
      <c r="BG941" t="s">
        <v>74</v>
      </c>
      <c r="BH941" t="s">
        <v>74</v>
      </c>
      <c r="BI941">
        <v>4</v>
      </c>
      <c r="BJ941" t="s">
        <v>662</v>
      </c>
      <c r="BK941" t="s">
        <v>170</v>
      </c>
      <c r="BL941" t="s">
        <v>663</v>
      </c>
      <c r="BM941" t="s">
        <v>12724</v>
      </c>
      <c r="BN941">
        <v>11724928</v>
      </c>
      <c r="BO941" t="s">
        <v>106</v>
      </c>
      <c r="BP941" t="s">
        <v>74</v>
      </c>
      <c r="BQ941" t="s">
        <v>74</v>
      </c>
      <c r="BR941" t="s">
        <v>107</v>
      </c>
      <c r="BS941" t="s">
        <v>12725</v>
      </c>
      <c r="BT941" t="str">
        <f>HYPERLINK("https%3A%2F%2Fwww.webofscience.com%2Fwos%2Fwoscc%2Ffull-record%2FWOS:000172576900056","View Full Record in Web of Science")</f>
        <v>View Full Record in Web of Science</v>
      </c>
    </row>
    <row r="942" spans="1:72" x14ac:dyDescent="0.15">
      <c r="A942" t="s">
        <v>72</v>
      </c>
      <c r="B942" t="s">
        <v>5337</v>
      </c>
      <c r="C942" t="s">
        <v>74</v>
      </c>
      <c r="D942" t="s">
        <v>74</v>
      </c>
      <c r="E942" t="s">
        <v>74</v>
      </c>
      <c r="F942" t="s">
        <v>5337</v>
      </c>
      <c r="G942" t="s">
        <v>74</v>
      </c>
      <c r="H942" t="s">
        <v>74</v>
      </c>
      <c r="I942" t="s">
        <v>12726</v>
      </c>
      <c r="J942" t="s">
        <v>12727</v>
      </c>
      <c r="K942" t="s">
        <v>74</v>
      </c>
      <c r="L942" t="s">
        <v>74</v>
      </c>
      <c r="M942" t="s">
        <v>77</v>
      </c>
      <c r="N942" t="s">
        <v>153</v>
      </c>
      <c r="O942" t="s">
        <v>74</v>
      </c>
      <c r="P942" t="s">
        <v>74</v>
      </c>
      <c r="Q942" t="s">
        <v>74</v>
      </c>
      <c r="R942" t="s">
        <v>74</v>
      </c>
      <c r="S942" t="s">
        <v>74</v>
      </c>
      <c r="T942" t="s">
        <v>74</v>
      </c>
      <c r="U942" t="s">
        <v>12728</v>
      </c>
      <c r="V942" t="s">
        <v>12729</v>
      </c>
      <c r="W942" t="s">
        <v>2466</v>
      </c>
      <c r="X942" t="s">
        <v>852</v>
      </c>
      <c r="Y942" t="s">
        <v>300</v>
      </c>
      <c r="Z942" t="s">
        <v>301</v>
      </c>
      <c r="AA942" t="s">
        <v>74</v>
      </c>
      <c r="AB942" t="s">
        <v>74</v>
      </c>
      <c r="AC942" t="s">
        <v>74</v>
      </c>
      <c r="AD942" t="s">
        <v>74</v>
      </c>
      <c r="AE942" t="s">
        <v>74</v>
      </c>
      <c r="AF942" t="s">
        <v>74</v>
      </c>
      <c r="AG942">
        <v>54</v>
      </c>
      <c r="AH942">
        <v>14</v>
      </c>
      <c r="AI942">
        <v>14</v>
      </c>
      <c r="AJ942">
        <v>0</v>
      </c>
      <c r="AK942">
        <v>15</v>
      </c>
      <c r="AL942" t="s">
        <v>1013</v>
      </c>
      <c r="AM942" t="s">
        <v>895</v>
      </c>
      <c r="AN942" t="s">
        <v>1014</v>
      </c>
      <c r="AO942" t="s">
        <v>12730</v>
      </c>
      <c r="AP942" t="s">
        <v>12731</v>
      </c>
      <c r="AQ942" t="s">
        <v>74</v>
      </c>
      <c r="AR942" t="s">
        <v>12732</v>
      </c>
      <c r="AS942" t="s">
        <v>12733</v>
      </c>
      <c r="AT942" t="s">
        <v>12734</v>
      </c>
      <c r="AU942">
        <v>2001</v>
      </c>
      <c r="AV942">
        <v>49</v>
      </c>
      <c r="AW942">
        <v>11</v>
      </c>
      <c r="AX942" t="s">
        <v>74</v>
      </c>
      <c r="AY942" t="s">
        <v>74</v>
      </c>
      <c r="AZ942" t="s">
        <v>74</v>
      </c>
      <c r="BA942" t="s">
        <v>74</v>
      </c>
      <c r="BB942">
        <v>631</v>
      </c>
      <c r="BC942">
        <v>640</v>
      </c>
      <c r="BD942" t="s">
        <v>74</v>
      </c>
      <c r="BE942" t="s">
        <v>74</v>
      </c>
      <c r="BF942" t="s">
        <v>74</v>
      </c>
      <c r="BG942" t="s">
        <v>74</v>
      </c>
      <c r="BH942" t="s">
        <v>74</v>
      </c>
      <c r="BI942">
        <v>10</v>
      </c>
      <c r="BJ942" t="s">
        <v>7045</v>
      </c>
      <c r="BK942" t="s">
        <v>170</v>
      </c>
      <c r="BL942" t="s">
        <v>2418</v>
      </c>
      <c r="BM942" t="s">
        <v>12735</v>
      </c>
      <c r="BN942">
        <v>11757578</v>
      </c>
      <c r="BO942" t="s">
        <v>74</v>
      </c>
      <c r="BP942" t="s">
        <v>74</v>
      </c>
      <c r="BQ942" t="s">
        <v>74</v>
      </c>
      <c r="BR942" t="s">
        <v>107</v>
      </c>
      <c r="BS942" t="s">
        <v>12736</v>
      </c>
      <c r="BT942" t="str">
        <f>HYPERLINK("https%3A%2F%2Fwww.webofscience.com%2Fwos%2Fwoscc%2Ffull-record%2FWOS:000171696700005","View Full Record in Web of Science")</f>
        <v>View Full Record in Web of Science</v>
      </c>
    </row>
    <row r="943" spans="1:72" x14ac:dyDescent="0.15">
      <c r="A943" t="s">
        <v>72</v>
      </c>
      <c r="B943" t="s">
        <v>5337</v>
      </c>
      <c r="C943" t="s">
        <v>74</v>
      </c>
      <c r="D943" t="s">
        <v>74</v>
      </c>
      <c r="E943" t="s">
        <v>74</v>
      </c>
      <c r="F943" t="s">
        <v>5337</v>
      </c>
      <c r="G943" t="s">
        <v>74</v>
      </c>
      <c r="H943" t="s">
        <v>74</v>
      </c>
      <c r="I943" t="s">
        <v>12737</v>
      </c>
      <c r="J943" t="s">
        <v>12727</v>
      </c>
      <c r="K943" t="s">
        <v>74</v>
      </c>
      <c r="L943" t="s">
        <v>74</v>
      </c>
      <c r="M943" t="s">
        <v>77</v>
      </c>
      <c r="N943" t="s">
        <v>153</v>
      </c>
      <c r="O943" t="s">
        <v>74</v>
      </c>
      <c r="P943" t="s">
        <v>74</v>
      </c>
      <c r="Q943" t="s">
        <v>74</v>
      </c>
      <c r="R943" t="s">
        <v>74</v>
      </c>
      <c r="S943" t="s">
        <v>74</v>
      </c>
      <c r="T943" t="s">
        <v>74</v>
      </c>
      <c r="U943" t="s">
        <v>12738</v>
      </c>
      <c r="V943" t="s">
        <v>12739</v>
      </c>
      <c r="W943" t="s">
        <v>2466</v>
      </c>
      <c r="X943" t="s">
        <v>852</v>
      </c>
      <c r="Y943" t="s">
        <v>12740</v>
      </c>
      <c r="Z943" t="s">
        <v>74</v>
      </c>
      <c r="AA943" t="s">
        <v>74</v>
      </c>
      <c r="AB943" t="s">
        <v>74</v>
      </c>
      <c r="AC943" t="s">
        <v>74</v>
      </c>
      <c r="AD943" t="s">
        <v>74</v>
      </c>
      <c r="AE943" t="s">
        <v>74</v>
      </c>
      <c r="AF943" t="s">
        <v>74</v>
      </c>
      <c r="AG943">
        <v>42</v>
      </c>
      <c r="AH943">
        <v>14</v>
      </c>
      <c r="AI943">
        <v>14</v>
      </c>
      <c r="AJ943">
        <v>0</v>
      </c>
      <c r="AK943">
        <v>2</v>
      </c>
      <c r="AL943" t="s">
        <v>1013</v>
      </c>
      <c r="AM943" t="s">
        <v>895</v>
      </c>
      <c r="AN943" t="s">
        <v>1014</v>
      </c>
      <c r="AO943" t="s">
        <v>12730</v>
      </c>
      <c r="AP943" t="s">
        <v>74</v>
      </c>
      <c r="AQ943" t="s">
        <v>74</v>
      </c>
      <c r="AR943" t="s">
        <v>12732</v>
      </c>
      <c r="AS943" t="s">
        <v>12733</v>
      </c>
      <c r="AT943" t="s">
        <v>12734</v>
      </c>
      <c r="AU943">
        <v>2001</v>
      </c>
      <c r="AV943">
        <v>49</v>
      </c>
      <c r="AW943">
        <v>12</v>
      </c>
      <c r="AX943" t="s">
        <v>74</v>
      </c>
      <c r="AY943" t="s">
        <v>74</v>
      </c>
      <c r="AZ943" t="s">
        <v>74</v>
      </c>
      <c r="BA943" t="s">
        <v>74</v>
      </c>
      <c r="BB943">
        <v>693</v>
      </c>
      <c r="BC943">
        <v>706</v>
      </c>
      <c r="BD943" t="s">
        <v>74</v>
      </c>
      <c r="BE943" t="s">
        <v>12741</v>
      </c>
      <c r="BF943" t="str">
        <f>HYPERLINK("http://dx.doi.org/10.1016/S0094-5765(01)00142-4","http://dx.doi.org/10.1016/S0094-5765(01)00142-4")</f>
        <v>http://dx.doi.org/10.1016/S0094-5765(01)00142-4</v>
      </c>
      <c r="BG943" t="s">
        <v>74</v>
      </c>
      <c r="BH943" t="s">
        <v>74</v>
      </c>
      <c r="BI943">
        <v>14</v>
      </c>
      <c r="BJ943" t="s">
        <v>7045</v>
      </c>
      <c r="BK943" t="s">
        <v>170</v>
      </c>
      <c r="BL943" t="s">
        <v>2418</v>
      </c>
      <c r="BM943" t="s">
        <v>12742</v>
      </c>
      <c r="BN943">
        <v>11724070</v>
      </c>
      <c r="BO943" t="s">
        <v>74</v>
      </c>
      <c r="BP943" t="s">
        <v>74</v>
      </c>
      <c r="BQ943" t="s">
        <v>74</v>
      </c>
      <c r="BR943" t="s">
        <v>107</v>
      </c>
      <c r="BS943" t="s">
        <v>12743</v>
      </c>
      <c r="BT943" t="str">
        <f>HYPERLINK("https%3A%2F%2Fwww.webofscience.com%2Fwos%2Fwoscc%2Ffull-record%2FWOS:000172113800005","View Full Record in Web of Science")</f>
        <v>View Full Record in Web of Science</v>
      </c>
    </row>
    <row r="944" spans="1:72" x14ac:dyDescent="0.15">
      <c r="A944" t="s">
        <v>72</v>
      </c>
      <c r="B944" t="s">
        <v>12744</v>
      </c>
      <c r="C944" t="s">
        <v>74</v>
      </c>
      <c r="D944" t="s">
        <v>74</v>
      </c>
      <c r="E944" t="s">
        <v>74</v>
      </c>
      <c r="F944" t="s">
        <v>12744</v>
      </c>
      <c r="G944" t="s">
        <v>74</v>
      </c>
      <c r="H944" t="s">
        <v>74</v>
      </c>
      <c r="I944" t="s">
        <v>12745</v>
      </c>
      <c r="J944" t="s">
        <v>12746</v>
      </c>
      <c r="K944" t="s">
        <v>74</v>
      </c>
      <c r="L944" t="s">
        <v>74</v>
      </c>
      <c r="M944" t="s">
        <v>77</v>
      </c>
      <c r="N944" t="s">
        <v>153</v>
      </c>
      <c r="O944" t="s">
        <v>74</v>
      </c>
      <c r="P944" t="s">
        <v>74</v>
      </c>
      <c r="Q944" t="s">
        <v>74</v>
      </c>
      <c r="R944" t="s">
        <v>74</v>
      </c>
      <c r="S944" t="s">
        <v>74</v>
      </c>
      <c r="T944" t="s">
        <v>12747</v>
      </c>
      <c r="U944" t="s">
        <v>12748</v>
      </c>
      <c r="V944" t="s">
        <v>12749</v>
      </c>
      <c r="W944" t="s">
        <v>12750</v>
      </c>
      <c r="X944" t="s">
        <v>12751</v>
      </c>
      <c r="Y944" t="s">
        <v>12752</v>
      </c>
      <c r="Z944" t="s">
        <v>74</v>
      </c>
      <c r="AA944" t="s">
        <v>12753</v>
      </c>
      <c r="AB944" t="s">
        <v>12754</v>
      </c>
      <c r="AC944" t="s">
        <v>74</v>
      </c>
      <c r="AD944" t="s">
        <v>74</v>
      </c>
      <c r="AE944" t="s">
        <v>74</v>
      </c>
      <c r="AF944" t="s">
        <v>74</v>
      </c>
      <c r="AG944">
        <v>34</v>
      </c>
      <c r="AH944">
        <v>17</v>
      </c>
      <c r="AI944">
        <v>20</v>
      </c>
      <c r="AJ944">
        <v>0</v>
      </c>
      <c r="AK944">
        <v>11</v>
      </c>
      <c r="AL944" t="s">
        <v>894</v>
      </c>
      <c r="AM944" t="s">
        <v>895</v>
      </c>
      <c r="AN944" t="s">
        <v>896</v>
      </c>
      <c r="AO944" t="s">
        <v>12755</v>
      </c>
      <c r="AP944" t="s">
        <v>74</v>
      </c>
      <c r="AQ944" t="s">
        <v>74</v>
      </c>
      <c r="AR944" t="s">
        <v>12756</v>
      </c>
      <c r="AS944" t="s">
        <v>12757</v>
      </c>
      <c r="AT944" t="s">
        <v>12734</v>
      </c>
      <c r="AU944">
        <v>2001</v>
      </c>
      <c r="AV944">
        <v>6</v>
      </c>
      <c r="AW944">
        <v>1</v>
      </c>
      <c r="AX944" t="s">
        <v>74</v>
      </c>
      <c r="AY944" t="s">
        <v>74</v>
      </c>
      <c r="AZ944" t="s">
        <v>74</v>
      </c>
      <c r="BA944" t="s">
        <v>74</v>
      </c>
      <c r="BB944">
        <v>29</v>
      </c>
      <c r="BC944">
        <v>43</v>
      </c>
      <c r="BD944" t="s">
        <v>74</v>
      </c>
      <c r="BE944" t="s">
        <v>12758</v>
      </c>
      <c r="BF944" t="str">
        <f>HYPERLINK("http://dx.doi.org/10.1016/S1093-0191(00)00068-X","http://dx.doi.org/10.1016/S1093-0191(00)00068-X")</f>
        <v>http://dx.doi.org/10.1016/S1093-0191(00)00068-X</v>
      </c>
      <c r="BG944" t="s">
        <v>74</v>
      </c>
      <c r="BH944" t="s">
        <v>74</v>
      </c>
      <c r="BI944">
        <v>15</v>
      </c>
      <c r="BJ944" t="s">
        <v>12759</v>
      </c>
      <c r="BK944" t="s">
        <v>170</v>
      </c>
      <c r="BL944" t="s">
        <v>2418</v>
      </c>
      <c r="BM944" t="s">
        <v>12760</v>
      </c>
      <c r="BN944" t="s">
        <v>74</v>
      </c>
      <c r="BO944" t="s">
        <v>74</v>
      </c>
      <c r="BP944" t="s">
        <v>74</v>
      </c>
      <c r="BQ944" t="s">
        <v>74</v>
      </c>
      <c r="BR944" t="s">
        <v>107</v>
      </c>
      <c r="BS944" t="s">
        <v>12761</v>
      </c>
      <c r="BT944" t="str">
        <f>HYPERLINK("https%3A%2F%2Fwww.webofscience.com%2Fwos%2Fwoscc%2Ffull-record%2FWOS:000171817800004","View Full Record in Web of Science")</f>
        <v>View Full Record in Web of Science</v>
      </c>
    </row>
    <row r="945" spans="1:72" x14ac:dyDescent="0.15">
      <c r="A945" t="s">
        <v>72</v>
      </c>
      <c r="B945" t="s">
        <v>12762</v>
      </c>
      <c r="C945" t="s">
        <v>74</v>
      </c>
      <c r="D945" t="s">
        <v>74</v>
      </c>
      <c r="E945" t="s">
        <v>74</v>
      </c>
      <c r="F945" t="s">
        <v>12762</v>
      </c>
      <c r="G945" t="s">
        <v>74</v>
      </c>
      <c r="H945" t="s">
        <v>74</v>
      </c>
      <c r="I945" t="s">
        <v>12763</v>
      </c>
      <c r="J945" t="s">
        <v>12764</v>
      </c>
      <c r="K945" t="s">
        <v>74</v>
      </c>
      <c r="L945" t="s">
        <v>74</v>
      </c>
      <c r="M945" t="s">
        <v>77</v>
      </c>
      <c r="N945" t="s">
        <v>52</v>
      </c>
      <c r="O945" t="s">
        <v>74</v>
      </c>
      <c r="P945" t="s">
        <v>74</v>
      </c>
      <c r="Q945" t="s">
        <v>74</v>
      </c>
      <c r="R945" t="s">
        <v>74</v>
      </c>
      <c r="S945" t="s">
        <v>74</v>
      </c>
      <c r="T945" t="s">
        <v>74</v>
      </c>
      <c r="U945" t="s">
        <v>74</v>
      </c>
      <c r="V945" t="s">
        <v>74</v>
      </c>
      <c r="W945" t="s">
        <v>12765</v>
      </c>
      <c r="X945" t="s">
        <v>12766</v>
      </c>
      <c r="Y945" t="s">
        <v>74</v>
      </c>
      <c r="Z945" t="s">
        <v>74</v>
      </c>
      <c r="AA945" t="s">
        <v>12767</v>
      </c>
      <c r="AB945" t="s">
        <v>12768</v>
      </c>
      <c r="AC945" t="s">
        <v>74</v>
      </c>
      <c r="AD945" t="s">
        <v>74</v>
      </c>
      <c r="AE945" t="s">
        <v>74</v>
      </c>
      <c r="AF945" t="s">
        <v>74</v>
      </c>
      <c r="AG945">
        <v>0</v>
      </c>
      <c r="AH945">
        <v>1</v>
      </c>
      <c r="AI945">
        <v>2</v>
      </c>
      <c r="AJ945">
        <v>0</v>
      </c>
      <c r="AK945">
        <v>4</v>
      </c>
      <c r="AL945" t="s">
        <v>12769</v>
      </c>
      <c r="AM945" t="s">
        <v>12770</v>
      </c>
      <c r="AN945" t="s">
        <v>12771</v>
      </c>
      <c r="AO945" t="s">
        <v>12772</v>
      </c>
      <c r="AP945" t="s">
        <v>74</v>
      </c>
      <c r="AQ945" t="s">
        <v>74</v>
      </c>
      <c r="AR945" t="s">
        <v>12773</v>
      </c>
      <c r="AS945" t="s">
        <v>12774</v>
      </c>
      <c r="AT945" t="s">
        <v>12734</v>
      </c>
      <c r="AU945">
        <v>2001</v>
      </c>
      <c r="AV945">
        <v>41</v>
      </c>
      <c r="AW945">
        <v>6</v>
      </c>
      <c r="AX945" t="s">
        <v>74</v>
      </c>
      <c r="AY945" t="s">
        <v>74</v>
      </c>
      <c r="AZ945" t="s">
        <v>74</v>
      </c>
      <c r="BA945" t="s">
        <v>74</v>
      </c>
      <c r="BB945">
        <v>1417</v>
      </c>
      <c r="BC945">
        <v>1417</v>
      </c>
      <c r="BD945" t="s">
        <v>74</v>
      </c>
      <c r="BE945" t="s">
        <v>74</v>
      </c>
      <c r="BF945" t="s">
        <v>74</v>
      </c>
      <c r="BG945" t="s">
        <v>74</v>
      </c>
      <c r="BH945" t="s">
        <v>74</v>
      </c>
      <c r="BI945">
        <v>1</v>
      </c>
      <c r="BJ945" t="s">
        <v>1001</v>
      </c>
      <c r="BK945" t="s">
        <v>170</v>
      </c>
      <c r="BL945" t="s">
        <v>1001</v>
      </c>
      <c r="BM945" t="s">
        <v>12775</v>
      </c>
      <c r="BN945" t="s">
        <v>74</v>
      </c>
      <c r="BO945" t="s">
        <v>74</v>
      </c>
      <c r="BP945" t="s">
        <v>74</v>
      </c>
      <c r="BQ945" t="s">
        <v>74</v>
      </c>
      <c r="BR945" t="s">
        <v>107</v>
      </c>
      <c r="BS945" t="s">
        <v>12776</v>
      </c>
      <c r="BT945" t="str">
        <f>HYPERLINK("https%3A%2F%2Fwww.webofscience.com%2Fwos%2Fwoscc%2Ffull-record%2FWOS:000174306500143","View Full Record in Web of Science")</f>
        <v>View Full Record in Web of Science</v>
      </c>
    </row>
    <row r="946" spans="1:72" x14ac:dyDescent="0.15">
      <c r="A946" t="s">
        <v>72</v>
      </c>
      <c r="B946" t="s">
        <v>12777</v>
      </c>
      <c r="C946" t="s">
        <v>74</v>
      </c>
      <c r="D946" t="s">
        <v>74</v>
      </c>
      <c r="E946" t="s">
        <v>74</v>
      </c>
      <c r="F946" t="s">
        <v>12777</v>
      </c>
      <c r="G946" t="s">
        <v>74</v>
      </c>
      <c r="H946" t="s">
        <v>74</v>
      </c>
      <c r="I946" t="s">
        <v>12778</v>
      </c>
      <c r="J946" t="s">
        <v>12764</v>
      </c>
      <c r="K946" t="s">
        <v>74</v>
      </c>
      <c r="L946" t="s">
        <v>74</v>
      </c>
      <c r="M946" t="s">
        <v>77</v>
      </c>
      <c r="N946" t="s">
        <v>52</v>
      </c>
      <c r="O946" t="s">
        <v>74</v>
      </c>
      <c r="P946" t="s">
        <v>74</v>
      </c>
      <c r="Q946" t="s">
        <v>74</v>
      </c>
      <c r="R946" t="s">
        <v>74</v>
      </c>
      <c r="S946" t="s">
        <v>74</v>
      </c>
      <c r="T946" t="s">
        <v>74</v>
      </c>
      <c r="U946" t="s">
        <v>74</v>
      </c>
      <c r="V946" t="s">
        <v>74</v>
      </c>
      <c r="W946" t="s">
        <v>12779</v>
      </c>
      <c r="X946" t="s">
        <v>12780</v>
      </c>
      <c r="Y946" t="s">
        <v>74</v>
      </c>
      <c r="Z946" t="s">
        <v>74</v>
      </c>
      <c r="AA946" t="s">
        <v>74</v>
      </c>
      <c r="AB946" t="s">
        <v>74</v>
      </c>
      <c r="AC946" t="s">
        <v>74</v>
      </c>
      <c r="AD946" t="s">
        <v>74</v>
      </c>
      <c r="AE946" t="s">
        <v>74</v>
      </c>
      <c r="AF946" t="s">
        <v>74</v>
      </c>
      <c r="AG946">
        <v>0</v>
      </c>
      <c r="AH946">
        <v>0</v>
      </c>
      <c r="AI946">
        <v>0</v>
      </c>
      <c r="AJ946">
        <v>0</v>
      </c>
      <c r="AK946">
        <v>2</v>
      </c>
      <c r="AL946" t="s">
        <v>12769</v>
      </c>
      <c r="AM946" t="s">
        <v>12770</v>
      </c>
      <c r="AN946" t="s">
        <v>12771</v>
      </c>
      <c r="AO946" t="s">
        <v>12772</v>
      </c>
      <c r="AP946" t="s">
        <v>74</v>
      </c>
      <c r="AQ946" t="s">
        <v>74</v>
      </c>
      <c r="AR946" t="s">
        <v>12773</v>
      </c>
      <c r="AS946" t="s">
        <v>12774</v>
      </c>
      <c r="AT946" t="s">
        <v>12734</v>
      </c>
      <c r="AU946">
        <v>2001</v>
      </c>
      <c r="AV946">
        <v>41</v>
      </c>
      <c r="AW946">
        <v>6</v>
      </c>
      <c r="AX946" t="s">
        <v>74</v>
      </c>
      <c r="AY946" t="s">
        <v>74</v>
      </c>
      <c r="AZ946" t="s">
        <v>74</v>
      </c>
      <c r="BA946" t="s">
        <v>74</v>
      </c>
      <c r="BB946">
        <v>1420</v>
      </c>
      <c r="BC946">
        <v>1420</v>
      </c>
      <c r="BD946" t="s">
        <v>74</v>
      </c>
      <c r="BE946" t="s">
        <v>74</v>
      </c>
      <c r="BF946" t="s">
        <v>74</v>
      </c>
      <c r="BG946" t="s">
        <v>74</v>
      </c>
      <c r="BH946" t="s">
        <v>74</v>
      </c>
      <c r="BI946">
        <v>1</v>
      </c>
      <c r="BJ946" t="s">
        <v>1001</v>
      </c>
      <c r="BK946" t="s">
        <v>170</v>
      </c>
      <c r="BL946" t="s">
        <v>1001</v>
      </c>
      <c r="BM946" t="s">
        <v>12775</v>
      </c>
      <c r="BN946" t="s">
        <v>74</v>
      </c>
      <c r="BO946" t="s">
        <v>74</v>
      </c>
      <c r="BP946" t="s">
        <v>74</v>
      </c>
      <c r="BQ946" t="s">
        <v>74</v>
      </c>
      <c r="BR946" t="s">
        <v>107</v>
      </c>
      <c r="BS946" t="s">
        <v>12781</v>
      </c>
      <c r="BT946" t="str">
        <f>HYPERLINK("https%3A%2F%2Fwww.webofscience.com%2Fwos%2Fwoscc%2Ffull-record%2FWOS:000174306500152","View Full Record in Web of Science")</f>
        <v>View Full Record in Web of Science</v>
      </c>
    </row>
    <row r="947" spans="1:72" x14ac:dyDescent="0.15">
      <c r="A947" t="s">
        <v>72</v>
      </c>
      <c r="B947" t="s">
        <v>12782</v>
      </c>
      <c r="C947" t="s">
        <v>74</v>
      </c>
      <c r="D947" t="s">
        <v>74</v>
      </c>
      <c r="E947" t="s">
        <v>74</v>
      </c>
      <c r="F947" t="s">
        <v>12782</v>
      </c>
      <c r="G947" t="s">
        <v>74</v>
      </c>
      <c r="H947" t="s">
        <v>74</v>
      </c>
      <c r="I947" t="s">
        <v>12783</v>
      </c>
      <c r="J947" t="s">
        <v>750</v>
      </c>
      <c r="K947" t="s">
        <v>74</v>
      </c>
      <c r="L947" t="s">
        <v>74</v>
      </c>
      <c r="M947" t="s">
        <v>77</v>
      </c>
      <c r="N947" t="s">
        <v>751</v>
      </c>
      <c r="O947" t="s">
        <v>74</v>
      </c>
      <c r="P947" t="s">
        <v>74</v>
      </c>
      <c r="Q947" t="s">
        <v>74</v>
      </c>
      <c r="R947" t="s">
        <v>74</v>
      </c>
      <c r="S947" t="s">
        <v>74</v>
      </c>
      <c r="T947" t="s">
        <v>74</v>
      </c>
      <c r="U947" t="s">
        <v>74</v>
      </c>
      <c r="V947" t="s">
        <v>74</v>
      </c>
      <c r="W947" t="s">
        <v>74</v>
      </c>
      <c r="X947" t="s">
        <v>74</v>
      </c>
      <c r="Y947" t="s">
        <v>74</v>
      </c>
      <c r="Z947" t="s">
        <v>74</v>
      </c>
      <c r="AA947" t="s">
        <v>74</v>
      </c>
      <c r="AB947" t="s">
        <v>12784</v>
      </c>
      <c r="AC947" t="s">
        <v>74</v>
      </c>
      <c r="AD947" t="s">
        <v>74</v>
      </c>
      <c r="AE947" t="s">
        <v>74</v>
      </c>
      <c r="AF947" t="s">
        <v>74</v>
      </c>
      <c r="AG947">
        <v>0</v>
      </c>
      <c r="AH947">
        <v>0</v>
      </c>
      <c r="AI947">
        <v>0</v>
      </c>
      <c r="AJ947">
        <v>0</v>
      </c>
      <c r="AK947">
        <v>2</v>
      </c>
      <c r="AL947" t="s">
        <v>753</v>
      </c>
      <c r="AM947" t="s">
        <v>195</v>
      </c>
      <c r="AN947" t="s">
        <v>754</v>
      </c>
      <c r="AO947" t="s">
        <v>755</v>
      </c>
      <c r="AP947" t="s">
        <v>74</v>
      </c>
      <c r="AQ947" t="s">
        <v>74</v>
      </c>
      <c r="AR947" t="s">
        <v>756</v>
      </c>
      <c r="AS947" t="s">
        <v>757</v>
      </c>
      <c r="AT947" t="s">
        <v>12734</v>
      </c>
      <c r="AU947">
        <v>2001</v>
      </c>
      <c r="AV947">
        <v>13</v>
      </c>
      <c r="AW947">
        <v>4</v>
      </c>
      <c r="AX947" t="s">
        <v>74</v>
      </c>
      <c r="AY947" t="s">
        <v>74</v>
      </c>
      <c r="AZ947" t="s">
        <v>74</v>
      </c>
      <c r="BA947" t="s">
        <v>74</v>
      </c>
      <c r="BB947">
        <v>353</v>
      </c>
      <c r="BC947">
        <v>353</v>
      </c>
      <c r="BD947" t="s">
        <v>74</v>
      </c>
      <c r="BE947" t="s">
        <v>12785</v>
      </c>
      <c r="BF947" t="str">
        <f>HYPERLINK("http://dx.doi.org/10.1017/S0954102001000499","http://dx.doi.org/10.1017/S0954102001000499")</f>
        <v>http://dx.doi.org/10.1017/S0954102001000499</v>
      </c>
      <c r="BG947" t="s">
        <v>74</v>
      </c>
      <c r="BH947" t="s">
        <v>74</v>
      </c>
      <c r="BI947">
        <v>1</v>
      </c>
      <c r="BJ947" t="s">
        <v>759</v>
      </c>
      <c r="BK947" t="s">
        <v>170</v>
      </c>
      <c r="BL947" t="s">
        <v>760</v>
      </c>
      <c r="BM947" t="s">
        <v>12786</v>
      </c>
      <c r="BN947" t="s">
        <v>74</v>
      </c>
      <c r="BO947" t="s">
        <v>173</v>
      </c>
      <c r="BP947" t="s">
        <v>74</v>
      </c>
      <c r="BQ947" t="s">
        <v>74</v>
      </c>
      <c r="BR947" t="s">
        <v>107</v>
      </c>
      <c r="BS947" t="s">
        <v>12787</v>
      </c>
      <c r="BT947" t="str">
        <f>HYPERLINK("https%3A%2F%2Fwww.webofscience.com%2Fwos%2Fwoscc%2Ffull-record%2FWOS:000172734600001","View Full Record in Web of Science")</f>
        <v>View Full Record in Web of Science</v>
      </c>
    </row>
    <row r="948" spans="1:72" x14ac:dyDescent="0.15">
      <c r="A948" t="s">
        <v>72</v>
      </c>
      <c r="B948" t="s">
        <v>12788</v>
      </c>
      <c r="C948" t="s">
        <v>74</v>
      </c>
      <c r="D948" t="s">
        <v>74</v>
      </c>
      <c r="E948" t="s">
        <v>74</v>
      </c>
      <c r="F948" t="s">
        <v>12788</v>
      </c>
      <c r="G948" t="s">
        <v>74</v>
      </c>
      <c r="H948" t="s">
        <v>74</v>
      </c>
      <c r="I948" t="s">
        <v>12789</v>
      </c>
      <c r="J948" t="s">
        <v>750</v>
      </c>
      <c r="K948" t="s">
        <v>74</v>
      </c>
      <c r="L948" t="s">
        <v>74</v>
      </c>
      <c r="M948" t="s">
        <v>77</v>
      </c>
      <c r="N948" t="s">
        <v>153</v>
      </c>
      <c r="O948" t="s">
        <v>74</v>
      </c>
      <c r="P948" t="s">
        <v>74</v>
      </c>
      <c r="Q948" t="s">
        <v>74</v>
      </c>
      <c r="R948" t="s">
        <v>74</v>
      </c>
      <c r="S948" t="s">
        <v>74</v>
      </c>
      <c r="T948" t="s">
        <v>12790</v>
      </c>
      <c r="U948" t="s">
        <v>12791</v>
      </c>
      <c r="V948" t="s">
        <v>12792</v>
      </c>
      <c r="W948" t="s">
        <v>2922</v>
      </c>
      <c r="X948" t="s">
        <v>2923</v>
      </c>
      <c r="Y948" t="s">
        <v>12793</v>
      </c>
      <c r="Z948" t="s">
        <v>74</v>
      </c>
      <c r="AA948" t="s">
        <v>74</v>
      </c>
      <c r="AB948" t="s">
        <v>74</v>
      </c>
      <c r="AC948" t="s">
        <v>74</v>
      </c>
      <c r="AD948" t="s">
        <v>74</v>
      </c>
      <c r="AE948" t="s">
        <v>74</v>
      </c>
      <c r="AF948" t="s">
        <v>74</v>
      </c>
      <c r="AG948">
        <v>57</v>
      </c>
      <c r="AH948">
        <v>29</v>
      </c>
      <c r="AI948">
        <v>31</v>
      </c>
      <c r="AJ948">
        <v>1</v>
      </c>
      <c r="AK948">
        <v>16</v>
      </c>
      <c r="AL948" t="s">
        <v>753</v>
      </c>
      <c r="AM948" t="s">
        <v>195</v>
      </c>
      <c r="AN948" t="s">
        <v>754</v>
      </c>
      <c r="AO948" t="s">
        <v>755</v>
      </c>
      <c r="AP948" t="s">
        <v>74</v>
      </c>
      <c r="AQ948" t="s">
        <v>74</v>
      </c>
      <c r="AR948" t="s">
        <v>756</v>
      </c>
      <c r="AS948" t="s">
        <v>757</v>
      </c>
      <c r="AT948" t="s">
        <v>12734</v>
      </c>
      <c r="AU948">
        <v>2001</v>
      </c>
      <c r="AV948">
        <v>13</v>
      </c>
      <c r="AW948">
        <v>4</v>
      </c>
      <c r="AX948" t="s">
        <v>74</v>
      </c>
      <c r="AY948" t="s">
        <v>74</v>
      </c>
      <c r="AZ948" t="s">
        <v>74</v>
      </c>
      <c r="BA948" t="s">
        <v>74</v>
      </c>
      <c r="BB948">
        <v>355</v>
      </c>
      <c r="BC948">
        <v>362</v>
      </c>
      <c r="BD948" t="s">
        <v>74</v>
      </c>
      <c r="BE948" t="s">
        <v>12794</v>
      </c>
      <c r="BF948" t="str">
        <f>HYPERLINK("http://dx.doi.org/10.1017/S0954102001000505","http://dx.doi.org/10.1017/S0954102001000505")</f>
        <v>http://dx.doi.org/10.1017/S0954102001000505</v>
      </c>
      <c r="BG948" t="s">
        <v>74</v>
      </c>
      <c r="BH948" t="s">
        <v>74</v>
      </c>
      <c r="BI948">
        <v>8</v>
      </c>
      <c r="BJ948" t="s">
        <v>759</v>
      </c>
      <c r="BK948" t="s">
        <v>170</v>
      </c>
      <c r="BL948" t="s">
        <v>760</v>
      </c>
      <c r="BM948" t="s">
        <v>12786</v>
      </c>
      <c r="BN948" t="s">
        <v>74</v>
      </c>
      <c r="BO948" t="s">
        <v>74</v>
      </c>
      <c r="BP948" t="s">
        <v>74</v>
      </c>
      <c r="BQ948" t="s">
        <v>74</v>
      </c>
      <c r="BR948" t="s">
        <v>107</v>
      </c>
      <c r="BS948" t="s">
        <v>12795</v>
      </c>
      <c r="BT948" t="str">
        <f>HYPERLINK("https%3A%2F%2Fwww.webofscience.com%2Fwos%2Fwoscc%2Ffull-record%2FWOS:000172734600002","View Full Record in Web of Science")</f>
        <v>View Full Record in Web of Science</v>
      </c>
    </row>
    <row r="949" spans="1:72" x14ac:dyDescent="0.15">
      <c r="A949" t="s">
        <v>72</v>
      </c>
      <c r="B949" t="s">
        <v>12796</v>
      </c>
      <c r="C949" t="s">
        <v>74</v>
      </c>
      <c r="D949" t="s">
        <v>74</v>
      </c>
      <c r="E949" t="s">
        <v>74</v>
      </c>
      <c r="F949" t="s">
        <v>12796</v>
      </c>
      <c r="G949" t="s">
        <v>74</v>
      </c>
      <c r="H949" t="s">
        <v>74</v>
      </c>
      <c r="I949" t="s">
        <v>12797</v>
      </c>
      <c r="J949" t="s">
        <v>750</v>
      </c>
      <c r="K949" t="s">
        <v>74</v>
      </c>
      <c r="L949" t="s">
        <v>74</v>
      </c>
      <c r="M949" t="s">
        <v>77</v>
      </c>
      <c r="N949" t="s">
        <v>153</v>
      </c>
      <c r="O949" t="s">
        <v>74</v>
      </c>
      <c r="P949" t="s">
        <v>74</v>
      </c>
      <c r="Q949" t="s">
        <v>74</v>
      </c>
      <c r="R949" t="s">
        <v>74</v>
      </c>
      <c r="S949" t="s">
        <v>74</v>
      </c>
      <c r="T949" t="s">
        <v>12798</v>
      </c>
      <c r="U949" t="s">
        <v>12799</v>
      </c>
      <c r="V949" t="s">
        <v>12800</v>
      </c>
      <c r="W949" t="s">
        <v>12801</v>
      </c>
      <c r="X949" t="s">
        <v>12802</v>
      </c>
      <c r="Y949" t="s">
        <v>12803</v>
      </c>
      <c r="Z949" t="s">
        <v>74</v>
      </c>
      <c r="AA949" t="s">
        <v>12804</v>
      </c>
      <c r="AB949" t="s">
        <v>12805</v>
      </c>
      <c r="AC949" t="s">
        <v>74</v>
      </c>
      <c r="AD949" t="s">
        <v>74</v>
      </c>
      <c r="AE949" t="s">
        <v>74</v>
      </c>
      <c r="AF949" t="s">
        <v>74</v>
      </c>
      <c r="AG949">
        <v>20</v>
      </c>
      <c r="AH949">
        <v>22</v>
      </c>
      <c r="AI949">
        <v>23</v>
      </c>
      <c r="AJ949">
        <v>0</v>
      </c>
      <c r="AK949">
        <v>2</v>
      </c>
      <c r="AL949" t="s">
        <v>753</v>
      </c>
      <c r="AM949" t="s">
        <v>195</v>
      </c>
      <c r="AN949" t="s">
        <v>754</v>
      </c>
      <c r="AO949" t="s">
        <v>755</v>
      </c>
      <c r="AP949" t="s">
        <v>74</v>
      </c>
      <c r="AQ949" t="s">
        <v>74</v>
      </c>
      <c r="AR949" t="s">
        <v>756</v>
      </c>
      <c r="AS949" t="s">
        <v>757</v>
      </c>
      <c r="AT949" t="s">
        <v>12734</v>
      </c>
      <c r="AU949">
        <v>2001</v>
      </c>
      <c r="AV949">
        <v>13</v>
      </c>
      <c r="AW949">
        <v>4</v>
      </c>
      <c r="AX949" t="s">
        <v>74</v>
      </c>
      <c r="AY949" t="s">
        <v>74</v>
      </c>
      <c r="AZ949" t="s">
        <v>74</v>
      </c>
      <c r="BA949" t="s">
        <v>74</v>
      </c>
      <c r="BB949">
        <v>363</v>
      </c>
      <c r="BC949">
        <v>370</v>
      </c>
      <c r="BD949" t="s">
        <v>74</v>
      </c>
      <c r="BE949" t="s">
        <v>12806</v>
      </c>
      <c r="BF949" t="str">
        <f>HYPERLINK("http://dx.doi.org/10.1017/S0954102001000517","http://dx.doi.org/10.1017/S0954102001000517")</f>
        <v>http://dx.doi.org/10.1017/S0954102001000517</v>
      </c>
      <c r="BG949" t="s">
        <v>74</v>
      </c>
      <c r="BH949" t="s">
        <v>74</v>
      </c>
      <c r="BI949">
        <v>8</v>
      </c>
      <c r="BJ949" t="s">
        <v>759</v>
      </c>
      <c r="BK949" t="s">
        <v>170</v>
      </c>
      <c r="BL949" t="s">
        <v>760</v>
      </c>
      <c r="BM949" t="s">
        <v>12786</v>
      </c>
      <c r="BN949" t="s">
        <v>74</v>
      </c>
      <c r="BO949" t="s">
        <v>74</v>
      </c>
      <c r="BP949" t="s">
        <v>74</v>
      </c>
      <c r="BQ949" t="s">
        <v>74</v>
      </c>
      <c r="BR949" t="s">
        <v>107</v>
      </c>
      <c r="BS949" t="s">
        <v>12807</v>
      </c>
      <c r="BT949" t="str">
        <f>HYPERLINK("https%3A%2F%2Fwww.webofscience.com%2Fwos%2Fwoscc%2Ffull-record%2FWOS:000172734600003","View Full Record in Web of Science")</f>
        <v>View Full Record in Web of Science</v>
      </c>
    </row>
    <row r="950" spans="1:72" x14ac:dyDescent="0.15">
      <c r="A950" t="s">
        <v>72</v>
      </c>
      <c r="B950" t="s">
        <v>12808</v>
      </c>
      <c r="C950" t="s">
        <v>74</v>
      </c>
      <c r="D950" t="s">
        <v>74</v>
      </c>
      <c r="E950" t="s">
        <v>74</v>
      </c>
      <c r="F950" t="s">
        <v>12808</v>
      </c>
      <c r="G950" t="s">
        <v>74</v>
      </c>
      <c r="H950" t="s">
        <v>74</v>
      </c>
      <c r="I950" t="s">
        <v>12809</v>
      </c>
      <c r="J950" t="s">
        <v>750</v>
      </c>
      <c r="K950" t="s">
        <v>74</v>
      </c>
      <c r="L950" t="s">
        <v>74</v>
      </c>
      <c r="M950" t="s">
        <v>77</v>
      </c>
      <c r="N950" t="s">
        <v>153</v>
      </c>
      <c r="O950" t="s">
        <v>74</v>
      </c>
      <c r="P950" t="s">
        <v>74</v>
      </c>
      <c r="Q950" t="s">
        <v>74</v>
      </c>
      <c r="R950" t="s">
        <v>74</v>
      </c>
      <c r="S950" t="s">
        <v>74</v>
      </c>
      <c r="T950" t="s">
        <v>12810</v>
      </c>
      <c r="U950" t="s">
        <v>12811</v>
      </c>
      <c r="V950" t="s">
        <v>12812</v>
      </c>
      <c r="W950" t="s">
        <v>12813</v>
      </c>
      <c r="X950" t="s">
        <v>12814</v>
      </c>
      <c r="Y950" t="s">
        <v>787</v>
      </c>
      <c r="Z950" t="s">
        <v>74</v>
      </c>
      <c r="AA950" t="s">
        <v>12815</v>
      </c>
      <c r="AB950" t="s">
        <v>12816</v>
      </c>
      <c r="AC950" t="s">
        <v>74</v>
      </c>
      <c r="AD950" t="s">
        <v>74</v>
      </c>
      <c r="AE950" t="s">
        <v>74</v>
      </c>
      <c r="AF950" t="s">
        <v>74</v>
      </c>
      <c r="AG950">
        <v>42</v>
      </c>
      <c r="AH950">
        <v>61</v>
      </c>
      <c r="AI950">
        <v>70</v>
      </c>
      <c r="AJ950">
        <v>0</v>
      </c>
      <c r="AK950">
        <v>29</v>
      </c>
      <c r="AL950" t="s">
        <v>753</v>
      </c>
      <c r="AM950" t="s">
        <v>195</v>
      </c>
      <c r="AN950" t="s">
        <v>754</v>
      </c>
      <c r="AO950" t="s">
        <v>755</v>
      </c>
      <c r="AP950" t="s">
        <v>74</v>
      </c>
      <c r="AQ950" t="s">
        <v>74</v>
      </c>
      <c r="AR950" t="s">
        <v>756</v>
      </c>
      <c r="AS950" t="s">
        <v>757</v>
      </c>
      <c r="AT950" t="s">
        <v>12734</v>
      </c>
      <c r="AU950">
        <v>2001</v>
      </c>
      <c r="AV950">
        <v>13</v>
      </c>
      <c r="AW950">
        <v>4</v>
      </c>
      <c r="AX950" t="s">
        <v>74</v>
      </c>
      <c r="AY950" t="s">
        <v>74</v>
      </c>
      <c r="AZ950" t="s">
        <v>74</v>
      </c>
      <c r="BA950" t="s">
        <v>74</v>
      </c>
      <c r="BB950">
        <v>371</v>
      </c>
      <c r="BC950">
        <v>379</v>
      </c>
      <c r="BD950" t="s">
        <v>74</v>
      </c>
      <c r="BE950" t="s">
        <v>12817</v>
      </c>
      <c r="BF950" t="str">
        <f>HYPERLINK("http://dx.doi.org/10.1017/S0954102001000529","http://dx.doi.org/10.1017/S0954102001000529")</f>
        <v>http://dx.doi.org/10.1017/S0954102001000529</v>
      </c>
      <c r="BG950" t="s">
        <v>74</v>
      </c>
      <c r="BH950" t="s">
        <v>74</v>
      </c>
      <c r="BI950">
        <v>9</v>
      </c>
      <c r="BJ950" t="s">
        <v>759</v>
      </c>
      <c r="BK950" t="s">
        <v>170</v>
      </c>
      <c r="BL950" t="s">
        <v>760</v>
      </c>
      <c r="BM950" t="s">
        <v>12786</v>
      </c>
      <c r="BN950" t="s">
        <v>74</v>
      </c>
      <c r="BO950" t="s">
        <v>74</v>
      </c>
      <c r="BP950" t="s">
        <v>74</v>
      </c>
      <c r="BQ950" t="s">
        <v>74</v>
      </c>
      <c r="BR950" t="s">
        <v>107</v>
      </c>
      <c r="BS950" t="s">
        <v>12818</v>
      </c>
      <c r="BT950" t="str">
        <f>HYPERLINK("https%3A%2F%2Fwww.webofscience.com%2Fwos%2Fwoscc%2Ffull-record%2FWOS:000172734600004","View Full Record in Web of Science")</f>
        <v>View Full Record in Web of Science</v>
      </c>
    </row>
    <row r="951" spans="1:72" x14ac:dyDescent="0.15">
      <c r="A951" t="s">
        <v>72</v>
      </c>
      <c r="B951" t="s">
        <v>12819</v>
      </c>
      <c r="C951" t="s">
        <v>74</v>
      </c>
      <c r="D951" t="s">
        <v>74</v>
      </c>
      <c r="E951" t="s">
        <v>74</v>
      </c>
      <c r="F951" t="s">
        <v>12819</v>
      </c>
      <c r="G951" t="s">
        <v>74</v>
      </c>
      <c r="H951" t="s">
        <v>74</v>
      </c>
      <c r="I951" t="s">
        <v>12820</v>
      </c>
      <c r="J951" t="s">
        <v>750</v>
      </c>
      <c r="K951" t="s">
        <v>74</v>
      </c>
      <c r="L951" t="s">
        <v>74</v>
      </c>
      <c r="M951" t="s">
        <v>77</v>
      </c>
      <c r="N951" t="s">
        <v>153</v>
      </c>
      <c r="O951" t="s">
        <v>74</v>
      </c>
      <c r="P951" t="s">
        <v>74</v>
      </c>
      <c r="Q951" t="s">
        <v>74</v>
      </c>
      <c r="R951" t="s">
        <v>74</v>
      </c>
      <c r="S951" t="s">
        <v>74</v>
      </c>
      <c r="T951" t="s">
        <v>12821</v>
      </c>
      <c r="U951" t="s">
        <v>12822</v>
      </c>
      <c r="V951" t="s">
        <v>12823</v>
      </c>
      <c r="W951" t="s">
        <v>12824</v>
      </c>
      <c r="X951" t="s">
        <v>12825</v>
      </c>
      <c r="Y951" t="s">
        <v>777</v>
      </c>
      <c r="Z951" t="s">
        <v>74</v>
      </c>
      <c r="AA951" t="s">
        <v>12826</v>
      </c>
      <c r="AB951" t="s">
        <v>3591</v>
      </c>
      <c r="AC951" t="s">
        <v>74</v>
      </c>
      <c r="AD951" t="s">
        <v>74</v>
      </c>
      <c r="AE951" t="s">
        <v>74</v>
      </c>
      <c r="AF951" t="s">
        <v>74</v>
      </c>
      <c r="AG951">
        <v>31</v>
      </c>
      <c r="AH951">
        <v>23</v>
      </c>
      <c r="AI951">
        <v>26</v>
      </c>
      <c r="AJ951">
        <v>0</v>
      </c>
      <c r="AK951">
        <v>5</v>
      </c>
      <c r="AL951" t="s">
        <v>753</v>
      </c>
      <c r="AM951" t="s">
        <v>195</v>
      </c>
      <c r="AN951" t="s">
        <v>754</v>
      </c>
      <c r="AO951" t="s">
        <v>755</v>
      </c>
      <c r="AP951" t="s">
        <v>74</v>
      </c>
      <c r="AQ951" t="s">
        <v>74</v>
      </c>
      <c r="AR951" t="s">
        <v>756</v>
      </c>
      <c r="AS951" t="s">
        <v>757</v>
      </c>
      <c r="AT951" t="s">
        <v>12734</v>
      </c>
      <c r="AU951">
        <v>2001</v>
      </c>
      <c r="AV951">
        <v>13</v>
      </c>
      <c r="AW951">
        <v>4</v>
      </c>
      <c r="AX951" t="s">
        <v>74</v>
      </c>
      <c r="AY951" t="s">
        <v>74</v>
      </c>
      <c r="AZ951" t="s">
        <v>74</v>
      </c>
      <c r="BA951" t="s">
        <v>74</v>
      </c>
      <c r="BB951">
        <v>380</v>
      </c>
      <c r="BC951">
        <v>384</v>
      </c>
      <c r="BD951" t="s">
        <v>74</v>
      </c>
      <c r="BE951" t="s">
        <v>12827</v>
      </c>
      <c r="BF951" t="str">
        <f>HYPERLINK("http://dx.doi.org/10.1017/S0954102001000530","http://dx.doi.org/10.1017/S0954102001000530")</f>
        <v>http://dx.doi.org/10.1017/S0954102001000530</v>
      </c>
      <c r="BG951" t="s">
        <v>74</v>
      </c>
      <c r="BH951" t="s">
        <v>74</v>
      </c>
      <c r="BI951">
        <v>5</v>
      </c>
      <c r="BJ951" t="s">
        <v>759</v>
      </c>
      <c r="BK951" t="s">
        <v>170</v>
      </c>
      <c r="BL951" t="s">
        <v>760</v>
      </c>
      <c r="BM951" t="s">
        <v>12786</v>
      </c>
      <c r="BN951" t="s">
        <v>74</v>
      </c>
      <c r="BO951" t="s">
        <v>74</v>
      </c>
      <c r="BP951" t="s">
        <v>74</v>
      </c>
      <c r="BQ951" t="s">
        <v>74</v>
      </c>
      <c r="BR951" t="s">
        <v>107</v>
      </c>
      <c r="BS951" t="s">
        <v>12828</v>
      </c>
      <c r="BT951" t="str">
        <f>HYPERLINK("https%3A%2F%2Fwww.webofscience.com%2Fwos%2Fwoscc%2Ffull-record%2FWOS:000172734600005","View Full Record in Web of Science")</f>
        <v>View Full Record in Web of Science</v>
      </c>
    </row>
    <row r="952" spans="1:72" x14ac:dyDescent="0.15">
      <c r="A952" t="s">
        <v>72</v>
      </c>
      <c r="B952" t="s">
        <v>12829</v>
      </c>
      <c r="C952" t="s">
        <v>74</v>
      </c>
      <c r="D952" t="s">
        <v>74</v>
      </c>
      <c r="E952" t="s">
        <v>74</v>
      </c>
      <c r="F952" t="s">
        <v>12829</v>
      </c>
      <c r="G952" t="s">
        <v>74</v>
      </c>
      <c r="H952" t="s">
        <v>74</v>
      </c>
      <c r="I952" t="s">
        <v>12830</v>
      </c>
      <c r="J952" t="s">
        <v>750</v>
      </c>
      <c r="K952" t="s">
        <v>74</v>
      </c>
      <c r="L952" t="s">
        <v>74</v>
      </c>
      <c r="M952" t="s">
        <v>77</v>
      </c>
      <c r="N952" t="s">
        <v>153</v>
      </c>
      <c r="O952" t="s">
        <v>74</v>
      </c>
      <c r="P952" t="s">
        <v>74</v>
      </c>
      <c r="Q952" t="s">
        <v>74</v>
      </c>
      <c r="R952" t="s">
        <v>74</v>
      </c>
      <c r="S952" t="s">
        <v>74</v>
      </c>
      <c r="T952" t="s">
        <v>12831</v>
      </c>
      <c r="U952" t="s">
        <v>12832</v>
      </c>
      <c r="V952" t="s">
        <v>12833</v>
      </c>
      <c r="W952" t="s">
        <v>12834</v>
      </c>
      <c r="X952" t="s">
        <v>12835</v>
      </c>
      <c r="Y952" t="s">
        <v>12836</v>
      </c>
      <c r="Z952" t="s">
        <v>12837</v>
      </c>
      <c r="AA952" t="s">
        <v>12838</v>
      </c>
      <c r="AB952" t="s">
        <v>74</v>
      </c>
      <c r="AC952" t="s">
        <v>74</v>
      </c>
      <c r="AD952" t="s">
        <v>74</v>
      </c>
      <c r="AE952" t="s">
        <v>74</v>
      </c>
      <c r="AF952" t="s">
        <v>74</v>
      </c>
      <c r="AG952">
        <v>28</v>
      </c>
      <c r="AH952">
        <v>14</v>
      </c>
      <c r="AI952">
        <v>15</v>
      </c>
      <c r="AJ952">
        <v>0</v>
      </c>
      <c r="AK952">
        <v>9</v>
      </c>
      <c r="AL952" t="s">
        <v>753</v>
      </c>
      <c r="AM952" t="s">
        <v>195</v>
      </c>
      <c r="AN952" t="s">
        <v>803</v>
      </c>
      <c r="AO952" t="s">
        <v>755</v>
      </c>
      <c r="AP952" t="s">
        <v>804</v>
      </c>
      <c r="AQ952" t="s">
        <v>74</v>
      </c>
      <c r="AR952" t="s">
        <v>756</v>
      </c>
      <c r="AS952" t="s">
        <v>757</v>
      </c>
      <c r="AT952" t="s">
        <v>12734</v>
      </c>
      <c r="AU952">
        <v>2001</v>
      </c>
      <c r="AV952">
        <v>13</v>
      </c>
      <c r="AW952">
        <v>4</v>
      </c>
      <c r="AX952" t="s">
        <v>74</v>
      </c>
      <c r="AY952" t="s">
        <v>74</v>
      </c>
      <c r="AZ952" t="s">
        <v>74</v>
      </c>
      <c r="BA952" t="s">
        <v>74</v>
      </c>
      <c r="BB952">
        <v>385</v>
      </c>
      <c r="BC952">
        <v>392</v>
      </c>
      <c r="BD952" t="s">
        <v>74</v>
      </c>
      <c r="BE952" t="s">
        <v>12839</v>
      </c>
      <c r="BF952" t="str">
        <f>HYPERLINK("http://dx.doi.org/10.1017/S0954102001000542","http://dx.doi.org/10.1017/S0954102001000542")</f>
        <v>http://dx.doi.org/10.1017/S0954102001000542</v>
      </c>
      <c r="BG952" t="s">
        <v>74</v>
      </c>
      <c r="BH952" t="s">
        <v>74</v>
      </c>
      <c r="BI952">
        <v>8</v>
      </c>
      <c r="BJ952" t="s">
        <v>759</v>
      </c>
      <c r="BK952" t="s">
        <v>170</v>
      </c>
      <c r="BL952" t="s">
        <v>760</v>
      </c>
      <c r="BM952" t="s">
        <v>12786</v>
      </c>
      <c r="BN952" t="s">
        <v>74</v>
      </c>
      <c r="BO952" t="s">
        <v>74</v>
      </c>
      <c r="BP952" t="s">
        <v>74</v>
      </c>
      <c r="BQ952" t="s">
        <v>74</v>
      </c>
      <c r="BR952" t="s">
        <v>107</v>
      </c>
      <c r="BS952" t="s">
        <v>12840</v>
      </c>
      <c r="BT952" t="str">
        <f>HYPERLINK("https%3A%2F%2Fwww.webofscience.com%2Fwos%2Fwoscc%2Ffull-record%2FWOS:000172734600006","View Full Record in Web of Science")</f>
        <v>View Full Record in Web of Science</v>
      </c>
    </row>
    <row r="953" spans="1:72" x14ac:dyDescent="0.15">
      <c r="A953" t="s">
        <v>72</v>
      </c>
      <c r="B953" t="s">
        <v>12841</v>
      </c>
      <c r="C953" t="s">
        <v>74</v>
      </c>
      <c r="D953" t="s">
        <v>74</v>
      </c>
      <c r="E953" t="s">
        <v>74</v>
      </c>
      <c r="F953" t="s">
        <v>12841</v>
      </c>
      <c r="G953" t="s">
        <v>74</v>
      </c>
      <c r="H953" t="s">
        <v>74</v>
      </c>
      <c r="I953" t="s">
        <v>12842</v>
      </c>
      <c r="J953" t="s">
        <v>750</v>
      </c>
      <c r="K953" t="s">
        <v>74</v>
      </c>
      <c r="L953" t="s">
        <v>74</v>
      </c>
      <c r="M953" t="s">
        <v>77</v>
      </c>
      <c r="N953" t="s">
        <v>153</v>
      </c>
      <c r="O953" t="s">
        <v>74</v>
      </c>
      <c r="P953" t="s">
        <v>74</v>
      </c>
      <c r="Q953" t="s">
        <v>74</v>
      </c>
      <c r="R953" t="s">
        <v>74</v>
      </c>
      <c r="S953" t="s">
        <v>74</v>
      </c>
      <c r="T953" t="s">
        <v>12843</v>
      </c>
      <c r="U953" t="s">
        <v>12844</v>
      </c>
      <c r="V953" t="s">
        <v>12845</v>
      </c>
      <c r="W953" t="s">
        <v>12846</v>
      </c>
      <c r="X953" t="s">
        <v>12847</v>
      </c>
      <c r="Y953" t="s">
        <v>12848</v>
      </c>
      <c r="Z953" t="s">
        <v>74</v>
      </c>
      <c r="AA953" t="s">
        <v>12849</v>
      </c>
      <c r="AB953" t="s">
        <v>12850</v>
      </c>
      <c r="AC953" t="s">
        <v>74</v>
      </c>
      <c r="AD953" t="s">
        <v>74</v>
      </c>
      <c r="AE953" t="s">
        <v>74</v>
      </c>
      <c r="AF953" t="s">
        <v>74</v>
      </c>
      <c r="AG953">
        <v>42</v>
      </c>
      <c r="AH953">
        <v>10</v>
      </c>
      <c r="AI953">
        <v>11</v>
      </c>
      <c r="AJ953">
        <v>0</v>
      </c>
      <c r="AK953">
        <v>19</v>
      </c>
      <c r="AL953" t="s">
        <v>753</v>
      </c>
      <c r="AM953" t="s">
        <v>195</v>
      </c>
      <c r="AN953" t="s">
        <v>754</v>
      </c>
      <c r="AO953" t="s">
        <v>755</v>
      </c>
      <c r="AP953" t="s">
        <v>74</v>
      </c>
      <c r="AQ953" t="s">
        <v>74</v>
      </c>
      <c r="AR953" t="s">
        <v>756</v>
      </c>
      <c r="AS953" t="s">
        <v>757</v>
      </c>
      <c r="AT953" t="s">
        <v>12734</v>
      </c>
      <c r="AU953">
        <v>2001</v>
      </c>
      <c r="AV953">
        <v>13</v>
      </c>
      <c r="AW953">
        <v>4</v>
      </c>
      <c r="AX953" t="s">
        <v>74</v>
      </c>
      <c r="AY953" t="s">
        <v>74</v>
      </c>
      <c r="AZ953" t="s">
        <v>74</v>
      </c>
      <c r="BA953" t="s">
        <v>74</v>
      </c>
      <c r="BB953">
        <v>393</v>
      </c>
      <c r="BC953">
        <v>399</v>
      </c>
      <c r="BD953" t="s">
        <v>74</v>
      </c>
      <c r="BE953" t="s">
        <v>12851</v>
      </c>
      <c r="BF953" t="str">
        <f>HYPERLINK("http://dx.doi.org/10.1017/S0954102001000554","http://dx.doi.org/10.1017/S0954102001000554")</f>
        <v>http://dx.doi.org/10.1017/S0954102001000554</v>
      </c>
      <c r="BG953" t="s">
        <v>74</v>
      </c>
      <c r="BH953" t="s">
        <v>74</v>
      </c>
      <c r="BI953">
        <v>7</v>
      </c>
      <c r="BJ953" t="s">
        <v>759</v>
      </c>
      <c r="BK953" t="s">
        <v>170</v>
      </c>
      <c r="BL953" t="s">
        <v>760</v>
      </c>
      <c r="BM953" t="s">
        <v>12786</v>
      </c>
      <c r="BN953" t="s">
        <v>74</v>
      </c>
      <c r="BO953" t="s">
        <v>74</v>
      </c>
      <c r="BP953" t="s">
        <v>74</v>
      </c>
      <c r="BQ953" t="s">
        <v>74</v>
      </c>
      <c r="BR953" t="s">
        <v>107</v>
      </c>
      <c r="BS953" t="s">
        <v>12852</v>
      </c>
      <c r="BT953" t="str">
        <f>HYPERLINK("https%3A%2F%2Fwww.webofscience.com%2Fwos%2Fwoscc%2Ffull-record%2FWOS:000172734600007","View Full Record in Web of Science")</f>
        <v>View Full Record in Web of Science</v>
      </c>
    </row>
    <row r="954" spans="1:72" x14ac:dyDescent="0.15">
      <c r="A954" t="s">
        <v>72</v>
      </c>
      <c r="B954" t="s">
        <v>12853</v>
      </c>
      <c r="C954" t="s">
        <v>74</v>
      </c>
      <c r="D954" t="s">
        <v>74</v>
      </c>
      <c r="E954" t="s">
        <v>74</v>
      </c>
      <c r="F954" t="s">
        <v>12853</v>
      </c>
      <c r="G954" t="s">
        <v>74</v>
      </c>
      <c r="H954" t="s">
        <v>74</v>
      </c>
      <c r="I954" t="s">
        <v>12854</v>
      </c>
      <c r="J954" t="s">
        <v>750</v>
      </c>
      <c r="K954" t="s">
        <v>74</v>
      </c>
      <c r="L954" t="s">
        <v>74</v>
      </c>
      <c r="M954" t="s">
        <v>77</v>
      </c>
      <c r="N954" t="s">
        <v>153</v>
      </c>
      <c r="O954" t="s">
        <v>74</v>
      </c>
      <c r="P954" t="s">
        <v>74</v>
      </c>
      <c r="Q954" t="s">
        <v>74</v>
      </c>
      <c r="R954" t="s">
        <v>74</v>
      </c>
      <c r="S954" t="s">
        <v>74</v>
      </c>
      <c r="T954" t="s">
        <v>12855</v>
      </c>
      <c r="U954" t="s">
        <v>12856</v>
      </c>
      <c r="V954" t="s">
        <v>12857</v>
      </c>
      <c r="W954" t="s">
        <v>12858</v>
      </c>
      <c r="X954" t="s">
        <v>3888</v>
      </c>
      <c r="Y954" t="s">
        <v>12859</v>
      </c>
      <c r="Z954" t="s">
        <v>12860</v>
      </c>
      <c r="AA954" t="s">
        <v>12861</v>
      </c>
      <c r="AB954" t="s">
        <v>12862</v>
      </c>
      <c r="AC954" t="s">
        <v>74</v>
      </c>
      <c r="AD954" t="s">
        <v>74</v>
      </c>
      <c r="AE954" t="s">
        <v>74</v>
      </c>
      <c r="AF954" t="s">
        <v>74</v>
      </c>
      <c r="AG954">
        <v>49</v>
      </c>
      <c r="AH954">
        <v>30</v>
      </c>
      <c r="AI954">
        <v>32</v>
      </c>
      <c r="AJ954">
        <v>0</v>
      </c>
      <c r="AK954">
        <v>7</v>
      </c>
      <c r="AL954" t="s">
        <v>753</v>
      </c>
      <c r="AM954" t="s">
        <v>195</v>
      </c>
      <c r="AN954" t="s">
        <v>803</v>
      </c>
      <c r="AO954" t="s">
        <v>755</v>
      </c>
      <c r="AP954" t="s">
        <v>804</v>
      </c>
      <c r="AQ954" t="s">
        <v>74</v>
      </c>
      <c r="AR954" t="s">
        <v>756</v>
      </c>
      <c r="AS954" t="s">
        <v>757</v>
      </c>
      <c r="AT954" t="s">
        <v>12734</v>
      </c>
      <c r="AU954">
        <v>2001</v>
      </c>
      <c r="AV954">
        <v>13</v>
      </c>
      <c r="AW954">
        <v>4</v>
      </c>
      <c r="AX954" t="s">
        <v>74</v>
      </c>
      <c r="AY954" t="s">
        <v>74</v>
      </c>
      <c r="AZ954" t="s">
        <v>74</v>
      </c>
      <c r="BA954" t="s">
        <v>74</v>
      </c>
      <c r="BB954">
        <v>400</v>
      </c>
      <c r="BC954">
        <v>409</v>
      </c>
      <c r="BD954" t="s">
        <v>74</v>
      </c>
      <c r="BE954" t="s">
        <v>12863</v>
      </c>
      <c r="BF954" t="str">
        <f>HYPERLINK("http://dx.doi.org/10.1017/S0954102001000566","http://dx.doi.org/10.1017/S0954102001000566")</f>
        <v>http://dx.doi.org/10.1017/S0954102001000566</v>
      </c>
      <c r="BG954" t="s">
        <v>74</v>
      </c>
      <c r="BH954" t="s">
        <v>74</v>
      </c>
      <c r="BI954">
        <v>10</v>
      </c>
      <c r="BJ954" t="s">
        <v>759</v>
      </c>
      <c r="BK954" t="s">
        <v>170</v>
      </c>
      <c r="BL954" t="s">
        <v>760</v>
      </c>
      <c r="BM954" t="s">
        <v>12786</v>
      </c>
      <c r="BN954" t="s">
        <v>74</v>
      </c>
      <c r="BO954" t="s">
        <v>74</v>
      </c>
      <c r="BP954" t="s">
        <v>74</v>
      </c>
      <c r="BQ954" t="s">
        <v>74</v>
      </c>
      <c r="BR954" t="s">
        <v>107</v>
      </c>
      <c r="BS954" t="s">
        <v>12864</v>
      </c>
      <c r="BT954" t="str">
        <f>HYPERLINK("https%3A%2F%2Fwww.webofscience.com%2Fwos%2Fwoscc%2Ffull-record%2FWOS:000172734600008","View Full Record in Web of Science")</f>
        <v>View Full Record in Web of Science</v>
      </c>
    </row>
    <row r="955" spans="1:72" x14ac:dyDescent="0.15">
      <c r="A955" t="s">
        <v>72</v>
      </c>
      <c r="B955" t="s">
        <v>12865</v>
      </c>
      <c r="C955" t="s">
        <v>74</v>
      </c>
      <c r="D955" t="s">
        <v>74</v>
      </c>
      <c r="E955" t="s">
        <v>74</v>
      </c>
      <c r="F955" t="s">
        <v>12865</v>
      </c>
      <c r="G955" t="s">
        <v>74</v>
      </c>
      <c r="H955" t="s">
        <v>74</v>
      </c>
      <c r="I955" t="s">
        <v>12866</v>
      </c>
      <c r="J955" t="s">
        <v>750</v>
      </c>
      <c r="K955" t="s">
        <v>74</v>
      </c>
      <c r="L955" t="s">
        <v>74</v>
      </c>
      <c r="M955" t="s">
        <v>77</v>
      </c>
      <c r="N955" t="s">
        <v>153</v>
      </c>
      <c r="O955" t="s">
        <v>74</v>
      </c>
      <c r="P955" t="s">
        <v>74</v>
      </c>
      <c r="Q955" t="s">
        <v>74</v>
      </c>
      <c r="R955" t="s">
        <v>74</v>
      </c>
      <c r="S955" t="s">
        <v>74</v>
      </c>
      <c r="T955" t="s">
        <v>12867</v>
      </c>
      <c r="U955" t="s">
        <v>12868</v>
      </c>
      <c r="V955" t="s">
        <v>12869</v>
      </c>
      <c r="W955" t="s">
        <v>12870</v>
      </c>
      <c r="X955" t="s">
        <v>12871</v>
      </c>
      <c r="Y955" t="s">
        <v>12872</v>
      </c>
      <c r="Z955" t="s">
        <v>74</v>
      </c>
      <c r="AA955" t="s">
        <v>12873</v>
      </c>
      <c r="AB955" t="s">
        <v>12874</v>
      </c>
      <c r="AC955" t="s">
        <v>74</v>
      </c>
      <c r="AD955" t="s">
        <v>74</v>
      </c>
      <c r="AE955" t="s">
        <v>74</v>
      </c>
      <c r="AF955" t="s">
        <v>74</v>
      </c>
      <c r="AG955">
        <v>40</v>
      </c>
      <c r="AH955">
        <v>26</v>
      </c>
      <c r="AI955">
        <v>28</v>
      </c>
      <c r="AJ955">
        <v>2</v>
      </c>
      <c r="AK955">
        <v>9</v>
      </c>
      <c r="AL955" t="s">
        <v>753</v>
      </c>
      <c r="AM955" t="s">
        <v>195</v>
      </c>
      <c r="AN955" t="s">
        <v>754</v>
      </c>
      <c r="AO955" t="s">
        <v>755</v>
      </c>
      <c r="AP955" t="s">
        <v>74</v>
      </c>
      <c r="AQ955" t="s">
        <v>74</v>
      </c>
      <c r="AR955" t="s">
        <v>756</v>
      </c>
      <c r="AS955" t="s">
        <v>757</v>
      </c>
      <c r="AT955" t="s">
        <v>12734</v>
      </c>
      <c r="AU955">
        <v>2001</v>
      </c>
      <c r="AV955">
        <v>13</v>
      </c>
      <c r="AW955">
        <v>4</v>
      </c>
      <c r="AX955" t="s">
        <v>74</v>
      </c>
      <c r="AY955" t="s">
        <v>74</v>
      </c>
      <c r="AZ955" t="s">
        <v>74</v>
      </c>
      <c r="BA955" t="s">
        <v>74</v>
      </c>
      <c r="BB955">
        <v>410</v>
      </c>
      <c r="BC955">
        <v>419</v>
      </c>
      <c r="BD955" t="s">
        <v>74</v>
      </c>
      <c r="BE955" t="s">
        <v>12875</v>
      </c>
      <c r="BF955" t="str">
        <f>HYPERLINK("http://dx.doi.org/10.1017/S0954102001000578","http://dx.doi.org/10.1017/S0954102001000578")</f>
        <v>http://dx.doi.org/10.1017/S0954102001000578</v>
      </c>
      <c r="BG955" t="s">
        <v>74</v>
      </c>
      <c r="BH955" t="s">
        <v>74</v>
      </c>
      <c r="BI955">
        <v>10</v>
      </c>
      <c r="BJ955" t="s">
        <v>759</v>
      </c>
      <c r="BK955" t="s">
        <v>170</v>
      </c>
      <c r="BL955" t="s">
        <v>760</v>
      </c>
      <c r="BM955" t="s">
        <v>12786</v>
      </c>
      <c r="BN955" t="s">
        <v>74</v>
      </c>
      <c r="BO955" t="s">
        <v>74</v>
      </c>
      <c r="BP955" t="s">
        <v>74</v>
      </c>
      <c r="BQ955" t="s">
        <v>74</v>
      </c>
      <c r="BR955" t="s">
        <v>107</v>
      </c>
      <c r="BS955" t="s">
        <v>12876</v>
      </c>
      <c r="BT955" t="str">
        <f>HYPERLINK("https%3A%2F%2Fwww.webofscience.com%2Fwos%2Fwoscc%2Ffull-record%2FWOS:000172734600009","View Full Record in Web of Science")</f>
        <v>View Full Record in Web of Science</v>
      </c>
    </row>
    <row r="956" spans="1:72" x14ac:dyDescent="0.15">
      <c r="A956" t="s">
        <v>72</v>
      </c>
      <c r="B956" t="s">
        <v>12877</v>
      </c>
      <c r="C956" t="s">
        <v>74</v>
      </c>
      <c r="D956" t="s">
        <v>74</v>
      </c>
      <c r="E956" t="s">
        <v>74</v>
      </c>
      <c r="F956" t="s">
        <v>12877</v>
      </c>
      <c r="G956" t="s">
        <v>74</v>
      </c>
      <c r="H956" t="s">
        <v>74</v>
      </c>
      <c r="I956" t="s">
        <v>12878</v>
      </c>
      <c r="J956" t="s">
        <v>750</v>
      </c>
      <c r="K956" t="s">
        <v>74</v>
      </c>
      <c r="L956" t="s">
        <v>74</v>
      </c>
      <c r="M956" t="s">
        <v>77</v>
      </c>
      <c r="N956" t="s">
        <v>153</v>
      </c>
      <c r="O956" t="s">
        <v>74</v>
      </c>
      <c r="P956" t="s">
        <v>74</v>
      </c>
      <c r="Q956" t="s">
        <v>74</v>
      </c>
      <c r="R956" t="s">
        <v>74</v>
      </c>
      <c r="S956" t="s">
        <v>74</v>
      </c>
      <c r="T956" t="s">
        <v>12879</v>
      </c>
      <c r="U956" t="s">
        <v>12880</v>
      </c>
      <c r="V956" t="s">
        <v>12881</v>
      </c>
      <c r="W956" t="s">
        <v>12882</v>
      </c>
      <c r="X956" t="s">
        <v>1384</v>
      </c>
      <c r="Y956" t="s">
        <v>12883</v>
      </c>
      <c r="Z956" t="s">
        <v>12884</v>
      </c>
      <c r="AA956" t="s">
        <v>4981</v>
      </c>
      <c r="AB956" t="s">
        <v>74</v>
      </c>
      <c r="AC956" t="s">
        <v>74</v>
      </c>
      <c r="AD956" t="s">
        <v>74</v>
      </c>
      <c r="AE956" t="s">
        <v>74</v>
      </c>
      <c r="AF956" t="s">
        <v>74</v>
      </c>
      <c r="AG956">
        <v>41</v>
      </c>
      <c r="AH956">
        <v>14</v>
      </c>
      <c r="AI956">
        <v>15</v>
      </c>
      <c r="AJ956">
        <v>0</v>
      </c>
      <c r="AK956">
        <v>2</v>
      </c>
      <c r="AL956" t="s">
        <v>753</v>
      </c>
      <c r="AM956" t="s">
        <v>195</v>
      </c>
      <c r="AN956" t="s">
        <v>803</v>
      </c>
      <c r="AO956" t="s">
        <v>755</v>
      </c>
      <c r="AP956" t="s">
        <v>804</v>
      </c>
      <c r="AQ956" t="s">
        <v>74</v>
      </c>
      <c r="AR956" t="s">
        <v>756</v>
      </c>
      <c r="AS956" t="s">
        <v>757</v>
      </c>
      <c r="AT956" t="s">
        <v>12734</v>
      </c>
      <c r="AU956">
        <v>2001</v>
      </c>
      <c r="AV956">
        <v>13</v>
      </c>
      <c r="AW956">
        <v>4</v>
      </c>
      <c r="AX956" t="s">
        <v>74</v>
      </c>
      <c r="AY956" t="s">
        <v>74</v>
      </c>
      <c r="AZ956" t="s">
        <v>74</v>
      </c>
      <c r="BA956" t="s">
        <v>74</v>
      </c>
      <c r="BB956">
        <v>420</v>
      </c>
      <c r="BC956">
        <v>429</v>
      </c>
      <c r="BD956" t="s">
        <v>74</v>
      </c>
      <c r="BE956" t="s">
        <v>12885</v>
      </c>
      <c r="BF956" t="str">
        <f>HYPERLINK("http://dx.doi.org/10.1017/S095410200100058X","http://dx.doi.org/10.1017/S095410200100058X")</f>
        <v>http://dx.doi.org/10.1017/S095410200100058X</v>
      </c>
      <c r="BG956" t="s">
        <v>74</v>
      </c>
      <c r="BH956" t="s">
        <v>74</v>
      </c>
      <c r="BI956">
        <v>10</v>
      </c>
      <c r="BJ956" t="s">
        <v>759</v>
      </c>
      <c r="BK956" t="s">
        <v>170</v>
      </c>
      <c r="BL956" t="s">
        <v>760</v>
      </c>
      <c r="BM956" t="s">
        <v>12786</v>
      </c>
      <c r="BN956" t="s">
        <v>74</v>
      </c>
      <c r="BO956" t="s">
        <v>74</v>
      </c>
      <c r="BP956" t="s">
        <v>74</v>
      </c>
      <c r="BQ956" t="s">
        <v>74</v>
      </c>
      <c r="BR956" t="s">
        <v>107</v>
      </c>
      <c r="BS956" t="s">
        <v>12886</v>
      </c>
      <c r="BT956" t="str">
        <f>HYPERLINK("https%3A%2F%2Fwww.webofscience.com%2Fwos%2Fwoscc%2Ffull-record%2FWOS:000172734600010","View Full Record in Web of Science")</f>
        <v>View Full Record in Web of Science</v>
      </c>
    </row>
    <row r="957" spans="1:72" x14ac:dyDescent="0.15">
      <c r="A957" t="s">
        <v>72</v>
      </c>
      <c r="B957" t="s">
        <v>12887</v>
      </c>
      <c r="C957" t="s">
        <v>74</v>
      </c>
      <c r="D957" t="s">
        <v>74</v>
      </c>
      <c r="E957" t="s">
        <v>74</v>
      </c>
      <c r="F957" t="s">
        <v>12887</v>
      </c>
      <c r="G957" t="s">
        <v>74</v>
      </c>
      <c r="H957" t="s">
        <v>74</v>
      </c>
      <c r="I957" t="s">
        <v>12888</v>
      </c>
      <c r="J957" t="s">
        <v>750</v>
      </c>
      <c r="K957" t="s">
        <v>74</v>
      </c>
      <c r="L957" t="s">
        <v>74</v>
      </c>
      <c r="M957" t="s">
        <v>77</v>
      </c>
      <c r="N957" t="s">
        <v>153</v>
      </c>
      <c r="O957" t="s">
        <v>74</v>
      </c>
      <c r="P957" t="s">
        <v>74</v>
      </c>
      <c r="Q957" t="s">
        <v>74</v>
      </c>
      <c r="R957" t="s">
        <v>74</v>
      </c>
      <c r="S957" t="s">
        <v>74</v>
      </c>
      <c r="T957" t="s">
        <v>12889</v>
      </c>
      <c r="U957" t="s">
        <v>12890</v>
      </c>
      <c r="V957" t="s">
        <v>12891</v>
      </c>
      <c r="W957" t="s">
        <v>12892</v>
      </c>
      <c r="X957" t="s">
        <v>12893</v>
      </c>
      <c r="Y957" t="s">
        <v>8816</v>
      </c>
      <c r="Z957" t="s">
        <v>12894</v>
      </c>
      <c r="AA957" t="s">
        <v>74</v>
      </c>
      <c r="AB957" t="s">
        <v>74</v>
      </c>
      <c r="AC957" t="s">
        <v>74</v>
      </c>
      <c r="AD957" t="s">
        <v>74</v>
      </c>
      <c r="AE957" t="s">
        <v>74</v>
      </c>
      <c r="AF957" t="s">
        <v>74</v>
      </c>
      <c r="AG957">
        <v>33</v>
      </c>
      <c r="AH957">
        <v>23</v>
      </c>
      <c r="AI957">
        <v>24</v>
      </c>
      <c r="AJ957">
        <v>3</v>
      </c>
      <c r="AK957">
        <v>23</v>
      </c>
      <c r="AL957" t="s">
        <v>753</v>
      </c>
      <c r="AM957" t="s">
        <v>195</v>
      </c>
      <c r="AN957" t="s">
        <v>803</v>
      </c>
      <c r="AO957" t="s">
        <v>755</v>
      </c>
      <c r="AP957" t="s">
        <v>804</v>
      </c>
      <c r="AQ957" t="s">
        <v>74</v>
      </c>
      <c r="AR957" t="s">
        <v>756</v>
      </c>
      <c r="AS957" t="s">
        <v>757</v>
      </c>
      <c r="AT957" t="s">
        <v>12734</v>
      </c>
      <c r="AU957">
        <v>2001</v>
      </c>
      <c r="AV957">
        <v>13</v>
      </c>
      <c r="AW957">
        <v>4</v>
      </c>
      <c r="AX957" t="s">
        <v>74</v>
      </c>
      <c r="AY957" t="s">
        <v>74</v>
      </c>
      <c r="AZ957" t="s">
        <v>74</v>
      </c>
      <c r="BA957" t="s">
        <v>74</v>
      </c>
      <c r="BB957">
        <v>430</v>
      </c>
      <c r="BC957">
        <v>439</v>
      </c>
      <c r="BD957" t="s">
        <v>74</v>
      </c>
      <c r="BE957" t="s">
        <v>12895</v>
      </c>
      <c r="BF957" t="str">
        <f>HYPERLINK("http://dx.doi.org/10.1017/S0954102001000591","http://dx.doi.org/10.1017/S0954102001000591")</f>
        <v>http://dx.doi.org/10.1017/S0954102001000591</v>
      </c>
      <c r="BG957" t="s">
        <v>74</v>
      </c>
      <c r="BH957" t="s">
        <v>74</v>
      </c>
      <c r="BI957">
        <v>10</v>
      </c>
      <c r="BJ957" t="s">
        <v>759</v>
      </c>
      <c r="BK957" t="s">
        <v>170</v>
      </c>
      <c r="BL957" t="s">
        <v>760</v>
      </c>
      <c r="BM957" t="s">
        <v>12786</v>
      </c>
      <c r="BN957" t="s">
        <v>74</v>
      </c>
      <c r="BO957" t="s">
        <v>74</v>
      </c>
      <c r="BP957" t="s">
        <v>74</v>
      </c>
      <c r="BQ957" t="s">
        <v>74</v>
      </c>
      <c r="BR957" t="s">
        <v>107</v>
      </c>
      <c r="BS957" t="s">
        <v>12896</v>
      </c>
      <c r="BT957" t="str">
        <f>HYPERLINK("https%3A%2F%2Fwww.webofscience.com%2Fwos%2Fwoscc%2Ffull-record%2FWOS:000172734600011","View Full Record in Web of Science")</f>
        <v>View Full Record in Web of Science</v>
      </c>
    </row>
    <row r="958" spans="1:72" x14ac:dyDescent="0.15">
      <c r="A958" t="s">
        <v>72</v>
      </c>
      <c r="B958" t="s">
        <v>12897</v>
      </c>
      <c r="C958" t="s">
        <v>74</v>
      </c>
      <c r="D958" t="s">
        <v>74</v>
      </c>
      <c r="E958" t="s">
        <v>74</v>
      </c>
      <c r="F958" t="s">
        <v>12897</v>
      </c>
      <c r="G958" t="s">
        <v>74</v>
      </c>
      <c r="H958" t="s">
        <v>74</v>
      </c>
      <c r="I958" t="s">
        <v>12898</v>
      </c>
      <c r="J958" t="s">
        <v>750</v>
      </c>
      <c r="K958" t="s">
        <v>74</v>
      </c>
      <c r="L958" t="s">
        <v>74</v>
      </c>
      <c r="M958" t="s">
        <v>77</v>
      </c>
      <c r="N958" t="s">
        <v>153</v>
      </c>
      <c r="O958" t="s">
        <v>74</v>
      </c>
      <c r="P958" t="s">
        <v>74</v>
      </c>
      <c r="Q958" t="s">
        <v>74</v>
      </c>
      <c r="R958" t="s">
        <v>74</v>
      </c>
      <c r="S958" t="s">
        <v>74</v>
      </c>
      <c r="T958" t="s">
        <v>12899</v>
      </c>
      <c r="U958" t="s">
        <v>12900</v>
      </c>
      <c r="V958" t="s">
        <v>12901</v>
      </c>
      <c r="W958" t="s">
        <v>12902</v>
      </c>
      <c r="X958" t="s">
        <v>12903</v>
      </c>
      <c r="Y958" t="s">
        <v>12904</v>
      </c>
      <c r="Z958" t="s">
        <v>74</v>
      </c>
      <c r="AA958" t="s">
        <v>12905</v>
      </c>
      <c r="AB958" t="s">
        <v>12906</v>
      </c>
      <c r="AC958" t="s">
        <v>74</v>
      </c>
      <c r="AD958" t="s">
        <v>74</v>
      </c>
      <c r="AE958" t="s">
        <v>74</v>
      </c>
      <c r="AF958" t="s">
        <v>74</v>
      </c>
      <c r="AG958">
        <v>59</v>
      </c>
      <c r="AH958">
        <v>137</v>
      </c>
      <c r="AI958">
        <v>151</v>
      </c>
      <c r="AJ958">
        <v>0</v>
      </c>
      <c r="AK958">
        <v>22</v>
      </c>
      <c r="AL958" t="s">
        <v>753</v>
      </c>
      <c r="AM958" t="s">
        <v>195</v>
      </c>
      <c r="AN958" t="s">
        <v>803</v>
      </c>
      <c r="AO958" t="s">
        <v>755</v>
      </c>
      <c r="AP958" t="s">
        <v>74</v>
      </c>
      <c r="AQ958" t="s">
        <v>74</v>
      </c>
      <c r="AR958" t="s">
        <v>756</v>
      </c>
      <c r="AS958" t="s">
        <v>757</v>
      </c>
      <c r="AT958" t="s">
        <v>12734</v>
      </c>
      <c r="AU958">
        <v>2001</v>
      </c>
      <c r="AV958">
        <v>13</v>
      </c>
      <c r="AW958">
        <v>4</v>
      </c>
      <c r="AX958" t="s">
        <v>74</v>
      </c>
      <c r="AY958" t="s">
        <v>74</v>
      </c>
      <c r="AZ958" t="s">
        <v>74</v>
      </c>
      <c r="BA958" t="s">
        <v>74</v>
      </c>
      <c r="BB958">
        <v>440</v>
      </c>
      <c r="BC958">
        <v>454</v>
      </c>
      <c r="BD958" t="s">
        <v>74</v>
      </c>
      <c r="BE958" t="s">
        <v>12907</v>
      </c>
      <c r="BF958" t="str">
        <f>HYPERLINK("http://dx.doi.org/10.1017/S0954102001000608","http://dx.doi.org/10.1017/S0954102001000608")</f>
        <v>http://dx.doi.org/10.1017/S0954102001000608</v>
      </c>
      <c r="BG958" t="s">
        <v>74</v>
      </c>
      <c r="BH958" t="s">
        <v>74</v>
      </c>
      <c r="BI958">
        <v>15</v>
      </c>
      <c r="BJ958" t="s">
        <v>759</v>
      </c>
      <c r="BK958" t="s">
        <v>170</v>
      </c>
      <c r="BL958" t="s">
        <v>760</v>
      </c>
      <c r="BM958" t="s">
        <v>12786</v>
      </c>
      <c r="BN958" t="s">
        <v>74</v>
      </c>
      <c r="BO958" t="s">
        <v>4428</v>
      </c>
      <c r="BP958" t="s">
        <v>74</v>
      </c>
      <c r="BQ958" t="s">
        <v>74</v>
      </c>
      <c r="BR958" t="s">
        <v>107</v>
      </c>
      <c r="BS958" t="s">
        <v>12908</v>
      </c>
      <c r="BT958" t="str">
        <f>HYPERLINK("https%3A%2F%2Fwww.webofscience.com%2Fwos%2Fwoscc%2Ffull-record%2FWOS:000172734600012","View Full Record in Web of Science")</f>
        <v>View Full Record in Web of Science</v>
      </c>
    </row>
    <row r="959" spans="1:72" x14ac:dyDescent="0.15">
      <c r="A959" t="s">
        <v>72</v>
      </c>
      <c r="B959" t="s">
        <v>12909</v>
      </c>
      <c r="C959" t="s">
        <v>74</v>
      </c>
      <c r="D959" t="s">
        <v>74</v>
      </c>
      <c r="E959" t="s">
        <v>74</v>
      </c>
      <c r="F959" t="s">
        <v>12909</v>
      </c>
      <c r="G959" t="s">
        <v>74</v>
      </c>
      <c r="H959" t="s">
        <v>74</v>
      </c>
      <c r="I959" t="s">
        <v>12910</v>
      </c>
      <c r="J959" t="s">
        <v>750</v>
      </c>
      <c r="K959" t="s">
        <v>74</v>
      </c>
      <c r="L959" t="s">
        <v>74</v>
      </c>
      <c r="M959" t="s">
        <v>77</v>
      </c>
      <c r="N959" t="s">
        <v>153</v>
      </c>
      <c r="O959" t="s">
        <v>74</v>
      </c>
      <c r="P959" t="s">
        <v>74</v>
      </c>
      <c r="Q959" t="s">
        <v>74</v>
      </c>
      <c r="R959" t="s">
        <v>74</v>
      </c>
      <c r="S959" t="s">
        <v>74</v>
      </c>
      <c r="T959" t="s">
        <v>12911</v>
      </c>
      <c r="U959" t="s">
        <v>12912</v>
      </c>
      <c r="V959" t="s">
        <v>12913</v>
      </c>
      <c r="W959" t="s">
        <v>12914</v>
      </c>
      <c r="X959" t="s">
        <v>12915</v>
      </c>
      <c r="Y959" t="s">
        <v>12916</v>
      </c>
      <c r="Z959" t="s">
        <v>74</v>
      </c>
      <c r="AA959" t="s">
        <v>74</v>
      </c>
      <c r="AB959" t="s">
        <v>74</v>
      </c>
      <c r="AC959" t="s">
        <v>74</v>
      </c>
      <c r="AD959" t="s">
        <v>74</v>
      </c>
      <c r="AE959" t="s">
        <v>74</v>
      </c>
      <c r="AF959" t="s">
        <v>74</v>
      </c>
      <c r="AG959">
        <v>66</v>
      </c>
      <c r="AH959">
        <v>49</v>
      </c>
      <c r="AI959">
        <v>53</v>
      </c>
      <c r="AJ959">
        <v>0</v>
      </c>
      <c r="AK959">
        <v>4</v>
      </c>
      <c r="AL959" t="s">
        <v>753</v>
      </c>
      <c r="AM959" t="s">
        <v>195</v>
      </c>
      <c r="AN959" t="s">
        <v>803</v>
      </c>
      <c r="AO959" t="s">
        <v>755</v>
      </c>
      <c r="AP959" t="s">
        <v>804</v>
      </c>
      <c r="AQ959" t="s">
        <v>74</v>
      </c>
      <c r="AR959" t="s">
        <v>756</v>
      </c>
      <c r="AS959" t="s">
        <v>757</v>
      </c>
      <c r="AT959" t="s">
        <v>12734</v>
      </c>
      <c r="AU959">
        <v>2001</v>
      </c>
      <c r="AV959">
        <v>13</v>
      </c>
      <c r="AW959">
        <v>4</v>
      </c>
      <c r="AX959" t="s">
        <v>74</v>
      </c>
      <c r="AY959" t="s">
        <v>74</v>
      </c>
      <c r="AZ959" t="s">
        <v>74</v>
      </c>
      <c r="BA959" t="s">
        <v>74</v>
      </c>
      <c r="BB959">
        <v>455</v>
      </c>
      <c r="BC959">
        <v>468</v>
      </c>
      <c r="BD959" t="s">
        <v>74</v>
      </c>
      <c r="BE959" t="s">
        <v>12917</v>
      </c>
      <c r="BF959" t="str">
        <f>HYPERLINK("http://dx.doi.org/10.1017/S095410200100061X","http://dx.doi.org/10.1017/S095410200100061X")</f>
        <v>http://dx.doi.org/10.1017/S095410200100061X</v>
      </c>
      <c r="BG959" t="s">
        <v>74</v>
      </c>
      <c r="BH959" t="s">
        <v>74</v>
      </c>
      <c r="BI959">
        <v>14</v>
      </c>
      <c r="BJ959" t="s">
        <v>759</v>
      </c>
      <c r="BK959" t="s">
        <v>170</v>
      </c>
      <c r="BL959" t="s">
        <v>760</v>
      </c>
      <c r="BM959" t="s">
        <v>12786</v>
      </c>
      <c r="BN959" t="s">
        <v>74</v>
      </c>
      <c r="BO959" t="s">
        <v>173</v>
      </c>
      <c r="BP959" t="s">
        <v>74</v>
      </c>
      <c r="BQ959" t="s">
        <v>74</v>
      </c>
      <c r="BR959" t="s">
        <v>107</v>
      </c>
      <c r="BS959" t="s">
        <v>12918</v>
      </c>
      <c r="BT959" t="str">
        <f>HYPERLINK("https%3A%2F%2Fwww.webofscience.com%2Fwos%2Fwoscc%2Ffull-record%2FWOS:000172734600013","View Full Record in Web of Science")</f>
        <v>View Full Record in Web of Science</v>
      </c>
    </row>
    <row r="960" spans="1:72" x14ac:dyDescent="0.15">
      <c r="A960" t="s">
        <v>72</v>
      </c>
      <c r="B960" t="s">
        <v>12919</v>
      </c>
      <c r="C960" t="s">
        <v>74</v>
      </c>
      <c r="D960" t="s">
        <v>74</v>
      </c>
      <c r="E960" t="s">
        <v>74</v>
      </c>
      <c r="F960" t="s">
        <v>12919</v>
      </c>
      <c r="G960" t="s">
        <v>74</v>
      </c>
      <c r="H960" t="s">
        <v>74</v>
      </c>
      <c r="I960" t="s">
        <v>12920</v>
      </c>
      <c r="J960" t="s">
        <v>12921</v>
      </c>
      <c r="K960" t="s">
        <v>74</v>
      </c>
      <c r="L960" t="s">
        <v>74</v>
      </c>
      <c r="M960" t="s">
        <v>77</v>
      </c>
      <c r="N960" t="s">
        <v>947</v>
      </c>
      <c r="O960" t="s">
        <v>74</v>
      </c>
      <c r="P960" t="s">
        <v>74</v>
      </c>
      <c r="Q960" t="s">
        <v>74</v>
      </c>
      <c r="R960" t="s">
        <v>74</v>
      </c>
      <c r="S960" t="s">
        <v>74</v>
      </c>
      <c r="T960" t="s">
        <v>12922</v>
      </c>
      <c r="U960" t="s">
        <v>12923</v>
      </c>
      <c r="V960" t="s">
        <v>12924</v>
      </c>
      <c r="W960" t="s">
        <v>12925</v>
      </c>
      <c r="X960" t="s">
        <v>12926</v>
      </c>
      <c r="Y960" t="s">
        <v>12927</v>
      </c>
      <c r="Z960" t="s">
        <v>12928</v>
      </c>
      <c r="AA960" t="s">
        <v>74</v>
      </c>
      <c r="AB960" t="s">
        <v>74</v>
      </c>
      <c r="AC960" t="s">
        <v>74</v>
      </c>
      <c r="AD960" t="s">
        <v>74</v>
      </c>
      <c r="AE960" t="s">
        <v>74</v>
      </c>
      <c r="AF960" t="s">
        <v>74</v>
      </c>
      <c r="AG960">
        <v>45</v>
      </c>
      <c r="AH960">
        <v>72</v>
      </c>
      <c r="AI960">
        <v>83</v>
      </c>
      <c r="AJ960">
        <v>4</v>
      </c>
      <c r="AK960">
        <v>46</v>
      </c>
      <c r="AL960" t="s">
        <v>194</v>
      </c>
      <c r="AM960" t="s">
        <v>195</v>
      </c>
      <c r="AN960" t="s">
        <v>196</v>
      </c>
      <c r="AO960" t="s">
        <v>12929</v>
      </c>
      <c r="AP960" t="s">
        <v>12930</v>
      </c>
      <c r="AQ960" t="s">
        <v>74</v>
      </c>
      <c r="AR960" t="s">
        <v>12931</v>
      </c>
      <c r="AS960" t="s">
        <v>12932</v>
      </c>
      <c r="AT960" t="s">
        <v>12734</v>
      </c>
      <c r="AU960">
        <v>2001</v>
      </c>
      <c r="AV960">
        <v>176</v>
      </c>
      <c r="AW960">
        <v>6</v>
      </c>
      <c r="AX960" t="s">
        <v>74</v>
      </c>
      <c r="AY960" t="s">
        <v>74</v>
      </c>
      <c r="AZ960" t="s">
        <v>74</v>
      </c>
      <c r="BA960" t="s">
        <v>74</v>
      </c>
      <c r="BB960">
        <v>400</v>
      </c>
      <c r="BC960">
        <v>405</v>
      </c>
      <c r="BD960" t="s">
        <v>74</v>
      </c>
      <c r="BE960" t="s">
        <v>12933</v>
      </c>
      <c r="BF960" t="str">
        <f>HYPERLINK("http://dx.doi.org/10.1007/s002030100346","http://dx.doi.org/10.1007/s002030100346")</f>
        <v>http://dx.doi.org/10.1007/s002030100346</v>
      </c>
      <c r="BG960" t="s">
        <v>74</v>
      </c>
      <c r="BH960" t="s">
        <v>74</v>
      </c>
      <c r="BI960">
        <v>6</v>
      </c>
      <c r="BJ960" t="s">
        <v>1134</v>
      </c>
      <c r="BK960" t="s">
        <v>170</v>
      </c>
      <c r="BL960" t="s">
        <v>1134</v>
      </c>
      <c r="BM960" t="s">
        <v>12934</v>
      </c>
      <c r="BN960">
        <v>11734882</v>
      </c>
      <c r="BO960" t="s">
        <v>74</v>
      </c>
      <c r="BP960" t="s">
        <v>74</v>
      </c>
      <c r="BQ960" t="s">
        <v>74</v>
      </c>
      <c r="BR960" t="s">
        <v>107</v>
      </c>
      <c r="BS960" t="s">
        <v>12935</v>
      </c>
      <c r="BT960" t="str">
        <f>HYPERLINK("https%3A%2F%2Fwww.webofscience.com%2Fwos%2Fwoscc%2Ffull-record%2FWOS:000172679000002","View Full Record in Web of Science")</f>
        <v>View Full Record in Web of Science</v>
      </c>
    </row>
    <row r="961" spans="1:72" x14ac:dyDescent="0.15">
      <c r="A961" t="s">
        <v>72</v>
      </c>
      <c r="B961" t="s">
        <v>12936</v>
      </c>
      <c r="C961" t="s">
        <v>74</v>
      </c>
      <c r="D961" t="s">
        <v>74</v>
      </c>
      <c r="E961" t="s">
        <v>74</v>
      </c>
      <c r="F961" t="s">
        <v>12936</v>
      </c>
      <c r="G961" t="s">
        <v>74</v>
      </c>
      <c r="H961" t="s">
        <v>74</v>
      </c>
      <c r="I961" t="s">
        <v>12937</v>
      </c>
      <c r="J961" t="s">
        <v>5130</v>
      </c>
      <c r="K961" t="s">
        <v>74</v>
      </c>
      <c r="L961" t="s">
        <v>74</v>
      </c>
      <c r="M961" t="s">
        <v>77</v>
      </c>
      <c r="N961" t="s">
        <v>947</v>
      </c>
      <c r="O961" t="s">
        <v>74</v>
      </c>
      <c r="P961" t="s">
        <v>74</v>
      </c>
      <c r="Q961" t="s">
        <v>74</v>
      </c>
      <c r="R961" t="s">
        <v>74</v>
      </c>
      <c r="S961" t="s">
        <v>74</v>
      </c>
      <c r="T961" t="s">
        <v>74</v>
      </c>
      <c r="U961" t="s">
        <v>12938</v>
      </c>
      <c r="V961" t="s">
        <v>12939</v>
      </c>
      <c r="W961" t="s">
        <v>12940</v>
      </c>
      <c r="X961" t="s">
        <v>12941</v>
      </c>
      <c r="Y961" t="s">
        <v>12942</v>
      </c>
      <c r="Z961" t="s">
        <v>12943</v>
      </c>
      <c r="AA961" t="s">
        <v>12944</v>
      </c>
      <c r="AB961" t="s">
        <v>12945</v>
      </c>
      <c r="AC961" t="s">
        <v>74</v>
      </c>
      <c r="AD961" t="s">
        <v>74</v>
      </c>
      <c r="AE961" t="s">
        <v>74</v>
      </c>
      <c r="AF961" t="s">
        <v>74</v>
      </c>
      <c r="AG961">
        <v>139</v>
      </c>
      <c r="AH961">
        <v>524</v>
      </c>
      <c r="AI961">
        <v>552</v>
      </c>
      <c r="AJ961">
        <v>1</v>
      </c>
      <c r="AK961">
        <v>113</v>
      </c>
      <c r="AL961" t="s">
        <v>12946</v>
      </c>
      <c r="AM961" t="s">
        <v>995</v>
      </c>
      <c r="AN961" t="s">
        <v>12947</v>
      </c>
      <c r="AO961" t="s">
        <v>5140</v>
      </c>
      <c r="AP961" t="s">
        <v>12948</v>
      </c>
      <c r="AQ961" t="s">
        <v>74</v>
      </c>
      <c r="AR961" t="s">
        <v>5141</v>
      </c>
      <c r="AS961" t="s">
        <v>5142</v>
      </c>
      <c r="AT961" t="s">
        <v>12734</v>
      </c>
      <c r="AU961">
        <v>2001</v>
      </c>
      <c r="AV961">
        <v>39</v>
      </c>
      <c r="AW961">
        <v>4</v>
      </c>
      <c r="AX961" t="s">
        <v>74</v>
      </c>
      <c r="AY961" t="s">
        <v>74</v>
      </c>
      <c r="AZ961" t="s">
        <v>74</v>
      </c>
      <c r="BA961" t="s">
        <v>74</v>
      </c>
      <c r="BB961">
        <v>361</v>
      </c>
      <c r="BC961">
        <v>428</v>
      </c>
      <c r="BD961" t="s">
        <v>74</v>
      </c>
      <c r="BE961" t="s">
        <v>12949</v>
      </c>
      <c r="BF961" t="str">
        <f>HYPERLINK("http://dx.doi.org/10.1080/07055900.2001.9649686","http://dx.doi.org/10.1080/07055900.2001.9649686")</f>
        <v>http://dx.doi.org/10.1080/07055900.2001.9649686</v>
      </c>
      <c r="BG961" t="s">
        <v>74</v>
      </c>
      <c r="BH961" t="s">
        <v>74</v>
      </c>
      <c r="BI961">
        <v>68</v>
      </c>
      <c r="BJ961" t="s">
        <v>5144</v>
      </c>
      <c r="BK961" t="s">
        <v>170</v>
      </c>
      <c r="BL961" t="s">
        <v>5144</v>
      </c>
      <c r="BM961" t="s">
        <v>12950</v>
      </c>
      <c r="BN961" t="s">
        <v>74</v>
      </c>
      <c r="BO961" t="s">
        <v>74</v>
      </c>
      <c r="BP961" t="s">
        <v>74</v>
      </c>
      <c r="BQ961" t="s">
        <v>74</v>
      </c>
      <c r="BR961" t="s">
        <v>107</v>
      </c>
      <c r="BS961" t="s">
        <v>12951</v>
      </c>
      <c r="BT961" t="str">
        <f>HYPERLINK("https%3A%2F%2Fwww.webofscience.com%2Fwos%2Fwoscc%2Ffull-record%2FWOS:000173445700001","View Full Record in Web of Science")</f>
        <v>View Full Record in Web of Science</v>
      </c>
    </row>
    <row r="962" spans="1:72" x14ac:dyDescent="0.15">
      <c r="A962" t="s">
        <v>72</v>
      </c>
      <c r="B962" t="s">
        <v>12952</v>
      </c>
      <c r="C962" t="s">
        <v>74</v>
      </c>
      <c r="D962" t="s">
        <v>74</v>
      </c>
      <c r="E962" t="s">
        <v>74</v>
      </c>
      <c r="F962" t="s">
        <v>12952</v>
      </c>
      <c r="G962" t="s">
        <v>74</v>
      </c>
      <c r="H962" t="s">
        <v>74</v>
      </c>
      <c r="I962" t="s">
        <v>12953</v>
      </c>
      <c r="J962" t="s">
        <v>908</v>
      </c>
      <c r="K962" t="s">
        <v>74</v>
      </c>
      <c r="L962" t="s">
        <v>74</v>
      </c>
      <c r="M962" t="s">
        <v>77</v>
      </c>
      <c r="N962" t="s">
        <v>153</v>
      </c>
      <c r="O962" t="s">
        <v>74</v>
      </c>
      <c r="P962" t="s">
        <v>74</v>
      </c>
      <c r="Q962" t="s">
        <v>74</v>
      </c>
      <c r="R962" t="s">
        <v>74</v>
      </c>
      <c r="S962" t="s">
        <v>74</v>
      </c>
      <c r="T962" t="s">
        <v>74</v>
      </c>
      <c r="U962" t="s">
        <v>12954</v>
      </c>
      <c r="V962" t="s">
        <v>12955</v>
      </c>
      <c r="W962" t="s">
        <v>12956</v>
      </c>
      <c r="X962" t="s">
        <v>12957</v>
      </c>
      <c r="Y962" t="s">
        <v>12958</v>
      </c>
      <c r="Z962" t="s">
        <v>12959</v>
      </c>
      <c r="AA962" t="s">
        <v>74</v>
      </c>
      <c r="AB962" t="s">
        <v>74</v>
      </c>
      <c r="AC962" t="s">
        <v>74</v>
      </c>
      <c r="AD962" t="s">
        <v>74</v>
      </c>
      <c r="AE962" t="s">
        <v>74</v>
      </c>
      <c r="AF962" t="s">
        <v>74</v>
      </c>
      <c r="AG962">
        <v>28</v>
      </c>
      <c r="AH962">
        <v>6</v>
      </c>
      <c r="AI962">
        <v>7</v>
      </c>
      <c r="AJ962">
        <v>0</v>
      </c>
      <c r="AK962">
        <v>0</v>
      </c>
      <c r="AL962" t="s">
        <v>917</v>
      </c>
      <c r="AM962" t="s">
        <v>918</v>
      </c>
      <c r="AN962" t="s">
        <v>919</v>
      </c>
      <c r="AO962" t="s">
        <v>920</v>
      </c>
      <c r="AP962" t="s">
        <v>74</v>
      </c>
      <c r="AQ962" t="s">
        <v>74</v>
      </c>
      <c r="AR962" t="s">
        <v>921</v>
      </c>
      <c r="AS962" t="s">
        <v>922</v>
      </c>
      <c r="AT962" t="s">
        <v>12734</v>
      </c>
      <c r="AU962">
        <v>2001</v>
      </c>
      <c r="AV962">
        <v>50</v>
      </c>
      <c r="AW962">
        <v>4</v>
      </c>
      <c r="AX962" t="s">
        <v>74</v>
      </c>
      <c r="AY962" t="s">
        <v>74</v>
      </c>
      <c r="AZ962" t="s">
        <v>74</v>
      </c>
      <c r="BA962" t="s">
        <v>74</v>
      </c>
      <c r="BB962">
        <v>295</v>
      </c>
      <c r="BC962">
        <v>308</v>
      </c>
      <c r="BD962" t="s">
        <v>74</v>
      </c>
      <c r="BE962" t="s">
        <v>74</v>
      </c>
      <c r="BF962" t="s">
        <v>74</v>
      </c>
      <c r="BG962" t="s">
        <v>74</v>
      </c>
      <c r="BH962" t="s">
        <v>74</v>
      </c>
      <c r="BI962">
        <v>14</v>
      </c>
      <c r="BJ962" t="s">
        <v>403</v>
      </c>
      <c r="BK962" t="s">
        <v>170</v>
      </c>
      <c r="BL962" t="s">
        <v>403</v>
      </c>
      <c r="BM962" t="s">
        <v>12960</v>
      </c>
      <c r="BN962" t="s">
        <v>74</v>
      </c>
      <c r="BO962" t="s">
        <v>74</v>
      </c>
      <c r="BP962" t="s">
        <v>74</v>
      </c>
      <c r="BQ962" t="s">
        <v>74</v>
      </c>
      <c r="BR962" t="s">
        <v>107</v>
      </c>
      <c r="BS962" t="s">
        <v>12961</v>
      </c>
      <c r="BT962" t="str">
        <f>HYPERLINK("https%3A%2F%2Fwww.webofscience.com%2Fwos%2Fwoscc%2Ffull-record%2FWOS:000173595700004","View Full Record in Web of Science")</f>
        <v>View Full Record in Web of Science</v>
      </c>
    </row>
    <row r="963" spans="1:72" x14ac:dyDescent="0.15">
      <c r="A963" t="s">
        <v>72</v>
      </c>
      <c r="B963" t="s">
        <v>12962</v>
      </c>
      <c r="C963" t="s">
        <v>74</v>
      </c>
      <c r="D963" t="s">
        <v>74</v>
      </c>
      <c r="E963" t="s">
        <v>74</v>
      </c>
      <c r="F963" t="s">
        <v>12962</v>
      </c>
      <c r="G963" t="s">
        <v>74</v>
      </c>
      <c r="H963" t="s">
        <v>74</v>
      </c>
      <c r="I963" t="s">
        <v>12963</v>
      </c>
      <c r="J963" t="s">
        <v>12964</v>
      </c>
      <c r="K963" t="s">
        <v>74</v>
      </c>
      <c r="L963" t="s">
        <v>74</v>
      </c>
      <c r="M963" t="s">
        <v>77</v>
      </c>
      <c r="N963" t="s">
        <v>153</v>
      </c>
      <c r="O963" t="s">
        <v>74</v>
      </c>
      <c r="P963" t="s">
        <v>74</v>
      </c>
      <c r="Q963" t="s">
        <v>74</v>
      </c>
      <c r="R963" t="s">
        <v>74</v>
      </c>
      <c r="S963" t="s">
        <v>74</v>
      </c>
      <c r="T963" t="s">
        <v>74</v>
      </c>
      <c r="U963" t="s">
        <v>12965</v>
      </c>
      <c r="V963" t="s">
        <v>12966</v>
      </c>
      <c r="W963" t="s">
        <v>12967</v>
      </c>
      <c r="X963" t="s">
        <v>12968</v>
      </c>
      <c r="Y963" t="s">
        <v>12969</v>
      </c>
      <c r="Z963" t="s">
        <v>12970</v>
      </c>
      <c r="AA963" t="s">
        <v>74</v>
      </c>
      <c r="AB963" t="s">
        <v>74</v>
      </c>
      <c r="AC963" t="s">
        <v>74</v>
      </c>
      <c r="AD963" t="s">
        <v>74</v>
      </c>
      <c r="AE963" t="s">
        <v>74</v>
      </c>
      <c r="AF963" t="s">
        <v>74</v>
      </c>
      <c r="AG963">
        <v>37</v>
      </c>
      <c r="AH963">
        <v>31</v>
      </c>
      <c r="AI963">
        <v>35</v>
      </c>
      <c r="AJ963">
        <v>0</v>
      </c>
      <c r="AK963">
        <v>23</v>
      </c>
      <c r="AL963" t="s">
        <v>8110</v>
      </c>
      <c r="AM963" t="s">
        <v>8111</v>
      </c>
      <c r="AN963" t="s">
        <v>8112</v>
      </c>
      <c r="AO963" t="s">
        <v>12971</v>
      </c>
      <c r="AP963" t="s">
        <v>12972</v>
      </c>
      <c r="AQ963" t="s">
        <v>74</v>
      </c>
      <c r="AR963" t="s">
        <v>12964</v>
      </c>
      <c r="AS963" t="s">
        <v>12973</v>
      </c>
      <c r="AT963" t="s">
        <v>12734</v>
      </c>
      <c r="AU963">
        <v>2001</v>
      </c>
      <c r="AV963">
        <v>138</v>
      </c>
      <c r="AW963" t="s">
        <v>74</v>
      </c>
      <c r="AX963" t="s">
        <v>12974</v>
      </c>
      <c r="AY963" t="s">
        <v>74</v>
      </c>
      <c r="AZ963" t="s">
        <v>74</v>
      </c>
      <c r="BA963" t="s">
        <v>74</v>
      </c>
      <c r="BB963">
        <v>1451</v>
      </c>
      <c r="BC963">
        <v>1466</v>
      </c>
      <c r="BD963" t="s">
        <v>74</v>
      </c>
      <c r="BE963" t="s">
        <v>12975</v>
      </c>
      <c r="BF963" t="str">
        <f>HYPERLINK("http://dx.doi.org/10.1163/156853901317367690","http://dx.doi.org/10.1163/156853901317367690")</f>
        <v>http://dx.doi.org/10.1163/156853901317367690</v>
      </c>
      <c r="BG963" t="s">
        <v>74</v>
      </c>
      <c r="BH963" t="s">
        <v>74</v>
      </c>
      <c r="BI963">
        <v>16</v>
      </c>
      <c r="BJ963" t="s">
        <v>12976</v>
      </c>
      <c r="BK963" t="s">
        <v>170</v>
      </c>
      <c r="BL963" t="s">
        <v>12976</v>
      </c>
      <c r="BM963" t="s">
        <v>12977</v>
      </c>
      <c r="BN963" t="s">
        <v>74</v>
      </c>
      <c r="BO963" t="s">
        <v>74</v>
      </c>
      <c r="BP963" t="s">
        <v>74</v>
      </c>
      <c r="BQ963" t="s">
        <v>74</v>
      </c>
      <c r="BR963" t="s">
        <v>107</v>
      </c>
      <c r="BS963" t="s">
        <v>12978</v>
      </c>
      <c r="BT963" t="str">
        <f>HYPERLINK("https%3A%2F%2Fwww.webofscience.com%2Fwos%2Fwoscc%2Ffull-record%2FWOS:000174651900009","View Full Record in Web of Science")</f>
        <v>View Full Record in Web of Science</v>
      </c>
    </row>
    <row r="964" spans="1:72" x14ac:dyDescent="0.15">
      <c r="A964" t="s">
        <v>72</v>
      </c>
      <c r="B964" t="s">
        <v>12979</v>
      </c>
      <c r="C964" t="s">
        <v>74</v>
      </c>
      <c r="D964" t="s">
        <v>74</v>
      </c>
      <c r="E964" t="s">
        <v>74</v>
      </c>
      <c r="F964" t="s">
        <v>12979</v>
      </c>
      <c r="G964" t="s">
        <v>74</v>
      </c>
      <c r="H964" t="s">
        <v>74</v>
      </c>
      <c r="I964" t="s">
        <v>12980</v>
      </c>
      <c r="J964" t="s">
        <v>12981</v>
      </c>
      <c r="K964" t="s">
        <v>74</v>
      </c>
      <c r="L964" t="s">
        <v>74</v>
      </c>
      <c r="M964" t="s">
        <v>77</v>
      </c>
      <c r="N964" t="s">
        <v>5784</v>
      </c>
      <c r="O964" t="s">
        <v>74</v>
      </c>
      <c r="P964" t="s">
        <v>74</v>
      </c>
      <c r="Q964" t="s">
        <v>74</v>
      </c>
      <c r="R964" t="s">
        <v>74</v>
      </c>
      <c r="S964" t="s">
        <v>74</v>
      </c>
      <c r="T964" t="s">
        <v>74</v>
      </c>
      <c r="U964" t="s">
        <v>74</v>
      </c>
      <c r="V964" t="s">
        <v>74</v>
      </c>
      <c r="W964" t="s">
        <v>12982</v>
      </c>
      <c r="X964" t="s">
        <v>12983</v>
      </c>
      <c r="Y964" t="s">
        <v>12984</v>
      </c>
      <c r="Z964" t="s">
        <v>74</v>
      </c>
      <c r="AA964" t="s">
        <v>74</v>
      </c>
      <c r="AB964" t="s">
        <v>74</v>
      </c>
      <c r="AC964" t="s">
        <v>74</v>
      </c>
      <c r="AD964" t="s">
        <v>74</v>
      </c>
      <c r="AE964" t="s">
        <v>74</v>
      </c>
      <c r="AF964" t="s">
        <v>74</v>
      </c>
      <c r="AG964">
        <v>1</v>
      </c>
      <c r="AH964">
        <v>0</v>
      </c>
      <c r="AI964">
        <v>0</v>
      </c>
      <c r="AJ964">
        <v>0</v>
      </c>
      <c r="AK964">
        <v>0</v>
      </c>
      <c r="AL964" t="s">
        <v>12985</v>
      </c>
      <c r="AM964" t="s">
        <v>12986</v>
      </c>
      <c r="AN964" t="s">
        <v>12987</v>
      </c>
      <c r="AO964" t="s">
        <v>12988</v>
      </c>
      <c r="AP964" t="s">
        <v>74</v>
      </c>
      <c r="AQ964" t="s">
        <v>74</v>
      </c>
      <c r="AR964" t="s">
        <v>12989</v>
      </c>
      <c r="AS964" t="s">
        <v>12990</v>
      </c>
      <c r="AT964" t="s">
        <v>12991</v>
      </c>
      <c r="AU964">
        <v>2001</v>
      </c>
      <c r="AV964">
        <v>45</v>
      </c>
      <c r="AW964">
        <v>4</v>
      </c>
      <c r="AX964" t="s">
        <v>74</v>
      </c>
      <c r="AY964" t="s">
        <v>74</v>
      </c>
      <c r="AZ964" t="s">
        <v>74</v>
      </c>
      <c r="BA964" t="s">
        <v>74</v>
      </c>
      <c r="BB964">
        <v>563</v>
      </c>
      <c r="BC964">
        <v>565</v>
      </c>
      <c r="BD964" t="s">
        <v>74</v>
      </c>
      <c r="BE964" t="s">
        <v>74</v>
      </c>
      <c r="BF964" t="s">
        <v>74</v>
      </c>
      <c r="BG964" t="s">
        <v>74</v>
      </c>
      <c r="BH964" t="s">
        <v>74</v>
      </c>
      <c r="BI964">
        <v>3</v>
      </c>
      <c r="BJ964" t="s">
        <v>11862</v>
      </c>
      <c r="BK964" t="s">
        <v>1236</v>
      </c>
      <c r="BL964" t="s">
        <v>11862</v>
      </c>
      <c r="BM964" t="s">
        <v>12992</v>
      </c>
      <c r="BN964" t="s">
        <v>74</v>
      </c>
      <c r="BO964" t="s">
        <v>74</v>
      </c>
      <c r="BP964" t="s">
        <v>74</v>
      </c>
      <c r="BQ964" t="s">
        <v>74</v>
      </c>
      <c r="BR964" t="s">
        <v>107</v>
      </c>
      <c r="BS964" t="s">
        <v>12993</v>
      </c>
      <c r="BT964" t="str">
        <f>HYPERLINK("https%3A%2F%2Fwww.webofscience.com%2Fwos%2Fwoscc%2Ffull-record%2FWOS:000174448800009","View Full Record in Web of Science")</f>
        <v>View Full Record in Web of Science</v>
      </c>
    </row>
    <row r="965" spans="1:72" x14ac:dyDescent="0.15">
      <c r="A965" t="s">
        <v>72</v>
      </c>
      <c r="B965" t="s">
        <v>12994</v>
      </c>
      <c r="C965" t="s">
        <v>74</v>
      </c>
      <c r="D965" t="s">
        <v>74</v>
      </c>
      <c r="E965" t="s">
        <v>74</v>
      </c>
      <c r="F965" t="s">
        <v>12994</v>
      </c>
      <c r="G965" t="s">
        <v>74</v>
      </c>
      <c r="H965" t="s">
        <v>74</v>
      </c>
      <c r="I965" t="s">
        <v>12995</v>
      </c>
      <c r="J965" t="s">
        <v>12996</v>
      </c>
      <c r="K965" t="s">
        <v>74</v>
      </c>
      <c r="L965" t="s">
        <v>74</v>
      </c>
      <c r="M965" t="s">
        <v>77</v>
      </c>
      <c r="N965" t="s">
        <v>153</v>
      </c>
      <c r="O965" t="s">
        <v>74</v>
      </c>
      <c r="P965" t="s">
        <v>74</v>
      </c>
      <c r="Q965" t="s">
        <v>74</v>
      </c>
      <c r="R965" t="s">
        <v>74</v>
      </c>
      <c r="S965" t="s">
        <v>74</v>
      </c>
      <c r="T965" t="s">
        <v>12997</v>
      </c>
      <c r="U965" t="s">
        <v>12998</v>
      </c>
      <c r="V965" t="s">
        <v>12999</v>
      </c>
      <c r="W965" t="s">
        <v>13000</v>
      </c>
      <c r="X965" t="s">
        <v>13001</v>
      </c>
      <c r="Y965" t="s">
        <v>13002</v>
      </c>
      <c r="Z965" t="s">
        <v>74</v>
      </c>
      <c r="AA965" t="s">
        <v>74</v>
      </c>
      <c r="AB965" t="s">
        <v>74</v>
      </c>
      <c r="AC965" t="s">
        <v>74</v>
      </c>
      <c r="AD965" t="s">
        <v>74</v>
      </c>
      <c r="AE965" t="s">
        <v>74</v>
      </c>
      <c r="AF965" t="s">
        <v>74</v>
      </c>
      <c r="AG965">
        <v>52</v>
      </c>
      <c r="AH965">
        <v>0</v>
      </c>
      <c r="AI965">
        <v>0</v>
      </c>
      <c r="AJ965">
        <v>0</v>
      </c>
      <c r="AK965">
        <v>3</v>
      </c>
      <c r="AL965" t="s">
        <v>994</v>
      </c>
      <c r="AM965" t="s">
        <v>995</v>
      </c>
      <c r="AN965" t="s">
        <v>996</v>
      </c>
      <c r="AO965" t="s">
        <v>13003</v>
      </c>
      <c r="AP965" t="s">
        <v>74</v>
      </c>
      <c r="AQ965" t="s">
        <v>74</v>
      </c>
      <c r="AR965" t="s">
        <v>13004</v>
      </c>
      <c r="AS965" t="s">
        <v>13005</v>
      </c>
      <c r="AT965" t="s">
        <v>12734</v>
      </c>
      <c r="AU965">
        <v>2001</v>
      </c>
      <c r="AV965">
        <v>79</v>
      </c>
      <c r="AW965">
        <v>12</v>
      </c>
      <c r="AX965" t="s">
        <v>74</v>
      </c>
      <c r="AY965" t="s">
        <v>74</v>
      </c>
      <c r="AZ965" t="s">
        <v>74</v>
      </c>
      <c r="BA965" t="s">
        <v>74</v>
      </c>
      <c r="BB965">
        <v>1940</v>
      </c>
      <c r="BC965">
        <v>1945</v>
      </c>
      <c r="BD965" t="s">
        <v>74</v>
      </c>
      <c r="BE965" t="s">
        <v>74</v>
      </c>
      <c r="BF965" t="s">
        <v>74</v>
      </c>
      <c r="BG965" t="s">
        <v>74</v>
      </c>
      <c r="BH965" t="s">
        <v>74</v>
      </c>
      <c r="BI965">
        <v>6</v>
      </c>
      <c r="BJ965" t="s">
        <v>3555</v>
      </c>
      <c r="BK965" t="s">
        <v>170</v>
      </c>
      <c r="BL965" t="s">
        <v>2189</v>
      </c>
      <c r="BM965" t="s">
        <v>13006</v>
      </c>
      <c r="BN965" t="s">
        <v>74</v>
      </c>
      <c r="BO965" t="s">
        <v>74</v>
      </c>
      <c r="BP965" t="s">
        <v>74</v>
      </c>
      <c r="BQ965" t="s">
        <v>74</v>
      </c>
      <c r="BR965" t="s">
        <v>107</v>
      </c>
      <c r="BS965" t="s">
        <v>13007</v>
      </c>
      <c r="BT965" t="str">
        <f>HYPERLINK("https%3A%2F%2Fwww.webofscience.com%2Fwos%2Fwoscc%2Ffull-record%2FWOS:000173518000014","View Full Record in Web of Science")</f>
        <v>View Full Record in Web of Science</v>
      </c>
    </row>
    <row r="966" spans="1:72" x14ac:dyDescent="0.15">
      <c r="A966" t="s">
        <v>72</v>
      </c>
      <c r="B966" t="s">
        <v>13008</v>
      </c>
      <c r="C966" t="s">
        <v>74</v>
      </c>
      <c r="D966" t="s">
        <v>74</v>
      </c>
      <c r="E966" t="s">
        <v>74</v>
      </c>
      <c r="F966" t="s">
        <v>13008</v>
      </c>
      <c r="G966" t="s">
        <v>74</v>
      </c>
      <c r="H966" t="s">
        <v>74</v>
      </c>
      <c r="I966" t="s">
        <v>13009</v>
      </c>
      <c r="J966" t="s">
        <v>3700</v>
      </c>
      <c r="K966" t="s">
        <v>74</v>
      </c>
      <c r="L966" t="s">
        <v>74</v>
      </c>
      <c r="M966" t="s">
        <v>77</v>
      </c>
      <c r="N966" t="s">
        <v>153</v>
      </c>
      <c r="O966" t="s">
        <v>74</v>
      </c>
      <c r="P966" t="s">
        <v>74</v>
      </c>
      <c r="Q966" t="s">
        <v>74</v>
      </c>
      <c r="R966" t="s">
        <v>74</v>
      </c>
      <c r="S966" t="s">
        <v>74</v>
      </c>
      <c r="T966" t="s">
        <v>74</v>
      </c>
      <c r="U966" t="s">
        <v>13010</v>
      </c>
      <c r="V966" t="s">
        <v>13011</v>
      </c>
      <c r="W966" t="s">
        <v>13012</v>
      </c>
      <c r="X966" t="s">
        <v>13013</v>
      </c>
      <c r="Y966" t="s">
        <v>13014</v>
      </c>
      <c r="Z966" t="s">
        <v>74</v>
      </c>
      <c r="AA966" t="s">
        <v>13015</v>
      </c>
      <c r="AB966" t="s">
        <v>13016</v>
      </c>
      <c r="AC966" t="s">
        <v>74</v>
      </c>
      <c r="AD966" t="s">
        <v>74</v>
      </c>
      <c r="AE966" t="s">
        <v>74</v>
      </c>
      <c r="AF966" t="s">
        <v>74</v>
      </c>
      <c r="AG966">
        <v>46</v>
      </c>
      <c r="AH966">
        <v>57</v>
      </c>
      <c r="AI966">
        <v>69</v>
      </c>
      <c r="AJ966">
        <v>0</v>
      </c>
      <c r="AK966">
        <v>26</v>
      </c>
      <c r="AL966" t="s">
        <v>994</v>
      </c>
      <c r="AM966" t="s">
        <v>995</v>
      </c>
      <c r="AN966" t="s">
        <v>996</v>
      </c>
      <c r="AO966" t="s">
        <v>3709</v>
      </c>
      <c r="AP966" t="s">
        <v>74</v>
      </c>
      <c r="AQ966" t="s">
        <v>74</v>
      </c>
      <c r="AR966" t="s">
        <v>3711</v>
      </c>
      <c r="AS966" t="s">
        <v>3712</v>
      </c>
      <c r="AT966" t="s">
        <v>12734</v>
      </c>
      <c r="AU966">
        <v>2001</v>
      </c>
      <c r="AV966">
        <v>58</v>
      </c>
      <c r="AW966">
        <v>12</v>
      </c>
      <c r="AX966" t="s">
        <v>74</v>
      </c>
      <c r="AY966" t="s">
        <v>74</v>
      </c>
      <c r="AZ966" t="s">
        <v>74</v>
      </c>
      <c r="BA966" t="s">
        <v>74</v>
      </c>
      <c r="BB966">
        <v>2405</v>
      </c>
      <c r="BC966">
        <v>2418</v>
      </c>
      <c r="BD966" t="s">
        <v>74</v>
      </c>
      <c r="BE966" t="s">
        <v>13017</v>
      </c>
      <c r="BF966" t="str">
        <f>HYPERLINK("http://dx.doi.org/10.1139/cjfas-58-12-2405","http://dx.doi.org/10.1139/cjfas-58-12-2405")</f>
        <v>http://dx.doi.org/10.1139/cjfas-58-12-2405</v>
      </c>
      <c r="BG966" t="s">
        <v>74</v>
      </c>
      <c r="BH966" t="s">
        <v>74</v>
      </c>
      <c r="BI966">
        <v>14</v>
      </c>
      <c r="BJ966" t="s">
        <v>1466</v>
      </c>
      <c r="BK966" t="s">
        <v>170</v>
      </c>
      <c r="BL966" t="s">
        <v>1466</v>
      </c>
      <c r="BM966" t="s">
        <v>13018</v>
      </c>
      <c r="BN966" t="s">
        <v>74</v>
      </c>
      <c r="BO966" t="s">
        <v>74</v>
      </c>
      <c r="BP966" t="s">
        <v>74</v>
      </c>
      <c r="BQ966" t="s">
        <v>74</v>
      </c>
      <c r="BR966" t="s">
        <v>107</v>
      </c>
      <c r="BS966" t="s">
        <v>13019</v>
      </c>
      <c r="BT966" t="str">
        <f>HYPERLINK("https%3A%2F%2Fwww.webofscience.com%2Fwos%2Fwoscc%2Ffull-record%2FWOS:000172825400010","View Full Record in Web of Science")</f>
        <v>View Full Record in Web of Science</v>
      </c>
    </row>
    <row r="967" spans="1:72" x14ac:dyDescent="0.15">
      <c r="A967" t="s">
        <v>72</v>
      </c>
      <c r="B967" t="s">
        <v>13020</v>
      </c>
      <c r="C967" t="s">
        <v>74</v>
      </c>
      <c r="D967" t="s">
        <v>74</v>
      </c>
      <c r="E967" t="s">
        <v>74</v>
      </c>
      <c r="F967" t="s">
        <v>13020</v>
      </c>
      <c r="G967" t="s">
        <v>74</v>
      </c>
      <c r="H967" t="s">
        <v>74</v>
      </c>
      <c r="I967" t="s">
        <v>13021</v>
      </c>
      <c r="J967" t="s">
        <v>966</v>
      </c>
      <c r="K967" t="s">
        <v>74</v>
      </c>
      <c r="L967" t="s">
        <v>74</v>
      </c>
      <c r="M967" t="s">
        <v>77</v>
      </c>
      <c r="N967" t="s">
        <v>153</v>
      </c>
      <c r="O967" t="s">
        <v>74</v>
      </c>
      <c r="P967" t="s">
        <v>74</v>
      </c>
      <c r="Q967" t="s">
        <v>74</v>
      </c>
      <c r="R967" t="s">
        <v>74</v>
      </c>
      <c r="S967" t="s">
        <v>74</v>
      </c>
      <c r="T967" t="s">
        <v>74</v>
      </c>
      <c r="U967" t="s">
        <v>74</v>
      </c>
      <c r="V967" t="s">
        <v>13022</v>
      </c>
      <c r="W967" t="s">
        <v>13023</v>
      </c>
      <c r="X967" t="s">
        <v>13024</v>
      </c>
      <c r="Y967" t="s">
        <v>13025</v>
      </c>
      <c r="Z967" t="s">
        <v>13026</v>
      </c>
      <c r="AA967" t="s">
        <v>74</v>
      </c>
      <c r="AB967" t="s">
        <v>74</v>
      </c>
      <c r="AC967" t="s">
        <v>74</v>
      </c>
      <c r="AD967" t="s">
        <v>74</v>
      </c>
      <c r="AE967" t="s">
        <v>74</v>
      </c>
      <c r="AF967" t="s">
        <v>74</v>
      </c>
      <c r="AG967">
        <v>8</v>
      </c>
      <c r="AH967">
        <v>0</v>
      </c>
      <c r="AI967">
        <v>0</v>
      </c>
      <c r="AJ967">
        <v>0</v>
      </c>
      <c r="AK967">
        <v>2</v>
      </c>
      <c r="AL967" t="s">
        <v>13027</v>
      </c>
      <c r="AM967" t="s">
        <v>13028</v>
      </c>
      <c r="AN967" t="s">
        <v>13029</v>
      </c>
      <c r="AO967" t="s">
        <v>977</v>
      </c>
      <c r="AP967" t="s">
        <v>978</v>
      </c>
      <c r="AQ967" t="s">
        <v>74</v>
      </c>
      <c r="AR967" t="s">
        <v>979</v>
      </c>
      <c r="AS967" t="s">
        <v>980</v>
      </c>
      <c r="AT967" t="s">
        <v>12734</v>
      </c>
      <c r="AU967">
        <v>2001</v>
      </c>
      <c r="AV967">
        <v>27</v>
      </c>
      <c r="AW967">
        <v>6</v>
      </c>
      <c r="AX967" t="s">
        <v>74</v>
      </c>
      <c r="AY967" t="s">
        <v>74</v>
      </c>
      <c r="AZ967" t="s">
        <v>74</v>
      </c>
      <c r="BA967" t="s">
        <v>74</v>
      </c>
      <c r="BB967">
        <v>691</v>
      </c>
      <c r="BC967">
        <v>697</v>
      </c>
      <c r="BD967" t="s">
        <v>74</v>
      </c>
      <c r="BE967" t="s">
        <v>13030</v>
      </c>
      <c r="BF967" t="str">
        <f>HYPERLINK("http://dx.doi.org/10.1080/07038992.2001.10854912","http://dx.doi.org/10.1080/07038992.2001.10854912")</f>
        <v>http://dx.doi.org/10.1080/07038992.2001.10854912</v>
      </c>
      <c r="BG967" t="s">
        <v>74</v>
      </c>
      <c r="BH967" t="s">
        <v>74</v>
      </c>
      <c r="BI967">
        <v>7</v>
      </c>
      <c r="BJ967" t="s">
        <v>982</v>
      </c>
      <c r="BK967" t="s">
        <v>170</v>
      </c>
      <c r="BL967" t="s">
        <v>982</v>
      </c>
      <c r="BM967" t="s">
        <v>13031</v>
      </c>
      <c r="BN967" t="s">
        <v>74</v>
      </c>
      <c r="BO967" t="s">
        <v>74</v>
      </c>
      <c r="BP967" t="s">
        <v>74</v>
      </c>
      <c r="BQ967" t="s">
        <v>74</v>
      </c>
      <c r="BR967" t="s">
        <v>107</v>
      </c>
      <c r="BS967" t="s">
        <v>13032</v>
      </c>
      <c r="BT967" t="str">
        <f>HYPERLINK("https%3A%2F%2Fwww.webofscience.com%2Fwos%2Fwoscc%2Ffull-record%2FWOS:000172898100015","View Full Record in Web of Science")</f>
        <v>View Full Record in Web of Science</v>
      </c>
    </row>
    <row r="968" spans="1:72" x14ac:dyDescent="0.15">
      <c r="A968" t="s">
        <v>72</v>
      </c>
      <c r="B968" t="s">
        <v>13033</v>
      </c>
      <c r="C968" t="s">
        <v>74</v>
      </c>
      <c r="D968" t="s">
        <v>74</v>
      </c>
      <c r="E968" t="s">
        <v>74</v>
      </c>
      <c r="F968" t="s">
        <v>13033</v>
      </c>
      <c r="G968" t="s">
        <v>74</v>
      </c>
      <c r="H968" t="s">
        <v>74</v>
      </c>
      <c r="I968" t="s">
        <v>13034</v>
      </c>
      <c r="J968" t="s">
        <v>13035</v>
      </c>
      <c r="K968" t="s">
        <v>74</v>
      </c>
      <c r="L968" t="s">
        <v>74</v>
      </c>
      <c r="M968" t="s">
        <v>77</v>
      </c>
      <c r="N968" t="s">
        <v>153</v>
      </c>
      <c r="O968" t="s">
        <v>74</v>
      </c>
      <c r="P968" t="s">
        <v>74</v>
      </c>
      <c r="Q968" t="s">
        <v>74</v>
      </c>
      <c r="R968" t="s">
        <v>74</v>
      </c>
      <c r="S968" t="s">
        <v>74</v>
      </c>
      <c r="T968" t="s">
        <v>13036</v>
      </c>
      <c r="U968" t="s">
        <v>74</v>
      </c>
      <c r="V968" t="s">
        <v>13037</v>
      </c>
      <c r="W968" t="s">
        <v>13038</v>
      </c>
      <c r="X968" t="s">
        <v>13039</v>
      </c>
      <c r="Y968" t="s">
        <v>13040</v>
      </c>
      <c r="Z968" t="s">
        <v>74</v>
      </c>
      <c r="AA968" t="s">
        <v>74</v>
      </c>
      <c r="AB968" t="s">
        <v>74</v>
      </c>
      <c r="AC968" t="s">
        <v>74</v>
      </c>
      <c r="AD968" t="s">
        <v>74</v>
      </c>
      <c r="AE968" t="s">
        <v>74</v>
      </c>
      <c r="AF968" t="s">
        <v>74</v>
      </c>
      <c r="AG968">
        <v>8</v>
      </c>
      <c r="AH968">
        <v>4</v>
      </c>
      <c r="AI968">
        <v>7</v>
      </c>
      <c r="AJ968">
        <v>0</v>
      </c>
      <c r="AK968">
        <v>3</v>
      </c>
      <c r="AL968" t="s">
        <v>13041</v>
      </c>
      <c r="AM968" t="s">
        <v>13042</v>
      </c>
      <c r="AN968" t="s">
        <v>13043</v>
      </c>
      <c r="AO968" t="s">
        <v>13044</v>
      </c>
      <c r="AP968" t="s">
        <v>74</v>
      </c>
      <c r="AQ968" t="s">
        <v>74</v>
      </c>
      <c r="AR968" t="s">
        <v>13045</v>
      </c>
      <c r="AS968" t="s">
        <v>13046</v>
      </c>
      <c r="AT968" t="s">
        <v>12734</v>
      </c>
      <c r="AU968">
        <v>2001</v>
      </c>
      <c r="AV968">
        <v>46</v>
      </c>
      <c r="AW968">
        <v>23</v>
      </c>
      <c r="AX968" t="s">
        <v>74</v>
      </c>
      <c r="AY968" t="s">
        <v>74</v>
      </c>
      <c r="AZ968" t="s">
        <v>74</v>
      </c>
      <c r="BA968" t="s">
        <v>74</v>
      </c>
      <c r="BB968">
        <v>1995</v>
      </c>
      <c r="BC968">
        <v>2000</v>
      </c>
      <c r="BD968" t="s">
        <v>74</v>
      </c>
      <c r="BE968" t="s">
        <v>13047</v>
      </c>
      <c r="BF968" t="str">
        <f>HYPERLINK("http://dx.doi.org/10.1007/BF02901915","http://dx.doi.org/10.1007/BF02901915")</f>
        <v>http://dx.doi.org/10.1007/BF02901915</v>
      </c>
      <c r="BG968" t="s">
        <v>74</v>
      </c>
      <c r="BH968" t="s">
        <v>74</v>
      </c>
      <c r="BI968">
        <v>6</v>
      </c>
      <c r="BJ968" t="s">
        <v>662</v>
      </c>
      <c r="BK968" t="s">
        <v>170</v>
      </c>
      <c r="BL968" t="s">
        <v>663</v>
      </c>
      <c r="BM968" t="s">
        <v>13048</v>
      </c>
      <c r="BN968" t="s">
        <v>74</v>
      </c>
      <c r="BO968" t="s">
        <v>74</v>
      </c>
      <c r="BP968" t="s">
        <v>74</v>
      </c>
      <c r="BQ968" t="s">
        <v>74</v>
      </c>
      <c r="BR968" t="s">
        <v>107</v>
      </c>
      <c r="BS968" t="s">
        <v>13049</v>
      </c>
      <c r="BT968" t="str">
        <f>HYPERLINK("https%3A%2F%2Fwww.webofscience.com%2Fwos%2Fwoscc%2Ffull-record%2FWOS:000173381900015","View Full Record in Web of Science")</f>
        <v>View Full Record in Web of Science</v>
      </c>
    </row>
    <row r="969" spans="1:72" x14ac:dyDescent="0.15">
      <c r="A969" t="s">
        <v>72</v>
      </c>
      <c r="B969" t="s">
        <v>2408</v>
      </c>
      <c r="C969" t="s">
        <v>74</v>
      </c>
      <c r="D969" t="s">
        <v>74</v>
      </c>
      <c r="E969" t="s">
        <v>74</v>
      </c>
      <c r="F969" t="s">
        <v>2408</v>
      </c>
      <c r="G969" t="s">
        <v>74</v>
      </c>
      <c r="H969" t="s">
        <v>74</v>
      </c>
      <c r="I969" t="s">
        <v>13050</v>
      </c>
      <c r="J969" t="s">
        <v>2410</v>
      </c>
      <c r="K969" t="s">
        <v>74</v>
      </c>
      <c r="L969" t="s">
        <v>74</v>
      </c>
      <c r="M969" t="s">
        <v>77</v>
      </c>
      <c r="N969" t="s">
        <v>1790</v>
      </c>
      <c r="O969" t="s">
        <v>74</v>
      </c>
      <c r="P969" t="s">
        <v>74</v>
      </c>
      <c r="Q969" t="s">
        <v>74</v>
      </c>
      <c r="R969" t="s">
        <v>74</v>
      </c>
      <c r="S969" t="s">
        <v>74</v>
      </c>
      <c r="T969" t="s">
        <v>74</v>
      </c>
      <c r="U969" t="s">
        <v>74</v>
      </c>
      <c r="V969" t="s">
        <v>74</v>
      </c>
      <c r="W969" t="s">
        <v>74</v>
      </c>
      <c r="X969" t="s">
        <v>74</v>
      </c>
      <c r="Y969" t="s">
        <v>74</v>
      </c>
      <c r="Z969" t="s">
        <v>74</v>
      </c>
      <c r="AA969" t="s">
        <v>74</v>
      </c>
      <c r="AB969" t="s">
        <v>74</v>
      </c>
      <c r="AC969" t="s">
        <v>74</v>
      </c>
      <c r="AD969" t="s">
        <v>74</v>
      </c>
      <c r="AE969" t="s">
        <v>74</v>
      </c>
      <c r="AF969" t="s">
        <v>74</v>
      </c>
      <c r="AG969">
        <v>0</v>
      </c>
      <c r="AH969">
        <v>0</v>
      </c>
      <c r="AI969">
        <v>0</v>
      </c>
      <c r="AJ969">
        <v>0</v>
      </c>
      <c r="AK969">
        <v>0</v>
      </c>
      <c r="AL969" t="s">
        <v>2411</v>
      </c>
      <c r="AM969" t="s">
        <v>2412</v>
      </c>
      <c r="AN969" t="s">
        <v>2413</v>
      </c>
      <c r="AO969" t="s">
        <v>2414</v>
      </c>
      <c r="AP969" t="s">
        <v>74</v>
      </c>
      <c r="AQ969" t="s">
        <v>74</v>
      </c>
      <c r="AR969" t="s">
        <v>2415</v>
      </c>
      <c r="AS969" t="s">
        <v>2416</v>
      </c>
      <c r="AT969" t="s">
        <v>12734</v>
      </c>
      <c r="AU969">
        <v>2001</v>
      </c>
      <c r="AV969">
        <v>71</v>
      </c>
      <c r="AW969">
        <v>12</v>
      </c>
      <c r="AX969" t="s">
        <v>74</v>
      </c>
      <c r="AY969" t="s">
        <v>74</v>
      </c>
      <c r="AZ969" t="s">
        <v>74</v>
      </c>
      <c r="BA969" t="s">
        <v>74</v>
      </c>
      <c r="BB969">
        <v>15</v>
      </c>
      <c r="BC969">
        <v>15</v>
      </c>
      <c r="BD969" t="s">
        <v>74</v>
      </c>
      <c r="BE969" t="s">
        <v>74</v>
      </c>
      <c r="BF969" t="s">
        <v>74</v>
      </c>
      <c r="BG969" t="s">
        <v>74</v>
      </c>
      <c r="BH969" t="s">
        <v>74</v>
      </c>
      <c r="BI969">
        <v>1</v>
      </c>
      <c r="BJ969" t="s">
        <v>2417</v>
      </c>
      <c r="BK969" t="s">
        <v>170</v>
      </c>
      <c r="BL969" t="s">
        <v>2418</v>
      </c>
      <c r="BM969" t="s">
        <v>13051</v>
      </c>
      <c r="BN969" t="s">
        <v>74</v>
      </c>
      <c r="BO969" t="s">
        <v>74</v>
      </c>
      <c r="BP969" t="s">
        <v>74</v>
      </c>
      <c r="BQ969" t="s">
        <v>74</v>
      </c>
      <c r="BR969" t="s">
        <v>107</v>
      </c>
      <c r="BS969" t="s">
        <v>13052</v>
      </c>
      <c r="BT969" t="str">
        <f>HYPERLINK("https%3A%2F%2Fwww.webofscience.com%2Fwos%2Fwoscc%2Ffull-record%2FWOS:000172662000009","View Full Record in Web of Science")</f>
        <v>View Full Record in Web of Science</v>
      </c>
    </row>
    <row r="970" spans="1:72" x14ac:dyDescent="0.15">
      <c r="A970" t="s">
        <v>72</v>
      </c>
      <c r="B970" t="s">
        <v>13053</v>
      </c>
      <c r="C970" t="s">
        <v>74</v>
      </c>
      <c r="D970" t="s">
        <v>74</v>
      </c>
      <c r="E970" t="s">
        <v>74</v>
      </c>
      <c r="F970" t="s">
        <v>13053</v>
      </c>
      <c r="G970" t="s">
        <v>74</v>
      </c>
      <c r="H970" t="s">
        <v>74</v>
      </c>
      <c r="I970" t="s">
        <v>13054</v>
      </c>
      <c r="J970" t="s">
        <v>1025</v>
      </c>
      <c r="K970" t="s">
        <v>74</v>
      </c>
      <c r="L970" t="s">
        <v>74</v>
      </c>
      <c r="M970" t="s">
        <v>77</v>
      </c>
      <c r="N970" t="s">
        <v>153</v>
      </c>
      <c r="O970" t="s">
        <v>74</v>
      </c>
      <c r="P970" t="s">
        <v>74</v>
      </c>
      <c r="Q970" t="s">
        <v>74</v>
      </c>
      <c r="R970" t="s">
        <v>74</v>
      </c>
      <c r="S970" t="s">
        <v>74</v>
      </c>
      <c r="T970" t="s">
        <v>74</v>
      </c>
      <c r="U970" t="s">
        <v>13055</v>
      </c>
      <c r="V970" t="s">
        <v>13056</v>
      </c>
      <c r="W970" t="s">
        <v>13057</v>
      </c>
      <c r="X970" t="s">
        <v>13058</v>
      </c>
      <c r="Y970" t="s">
        <v>13059</v>
      </c>
      <c r="Z970" t="s">
        <v>13060</v>
      </c>
      <c r="AA970" t="s">
        <v>13061</v>
      </c>
      <c r="AB970" t="s">
        <v>13062</v>
      </c>
      <c r="AC970" t="s">
        <v>74</v>
      </c>
      <c r="AD970" t="s">
        <v>74</v>
      </c>
      <c r="AE970" t="s">
        <v>74</v>
      </c>
      <c r="AF970" t="s">
        <v>74</v>
      </c>
      <c r="AG970">
        <v>60</v>
      </c>
      <c r="AH970">
        <v>121</v>
      </c>
      <c r="AI970">
        <v>130</v>
      </c>
      <c r="AJ970">
        <v>0</v>
      </c>
      <c r="AK970">
        <v>19</v>
      </c>
      <c r="AL970" t="s">
        <v>194</v>
      </c>
      <c r="AM970" t="s">
        <v>195</v>
      </c>
      <c r="AN970" t="s">
        <v>196</v>
      </c>
      <c r="AO970" t="s">
        <v>1033</v>
      </c>
      <c r="AP970" t="s">
        <v>2429</v>
      </c>
      <c r="AQ970" t="s">
        <v>74</v>
      </c>
      <c r="AR970" t="s">
        <v>1034</v>
      </c>
      <c r="AS970" t="s">
        <v>1035</v>
      </c>
      <c r="AT970" t="s">
        <v>12734</v>
      </c>
      <c r="AU970">
        <v>2001</v>
      </c>
      <c r="AV970">
        <v>18</v>
      </c>
      <c r="AW970" t="s">
        <v>436</v>
      </c>
      <c r="AX970" t="s">
        <v>74</v>
      </c>
      <c r="AY970" t="s">
        <v>74</v>
      </c>
      <c r="AZ970" t="s">
        <v>74</v>
      </c>
      <c r="BA970" t="s">
        <v>74</v>
      </c>
      <c r="BB970">
        <v>225</v>
      </c>
      <c r="BC970">
        <v>240</v>
      </c>
      <c r="BD970" t="s">
        <v>74</v>
      </c>
      <c r="BE970" t="s">
        <v>13063</v>
      </c>
      <c r="BF970" t="str">
        <f>HYPERLINK("http://dx.doi.org/10.1007/s003820100180","http://dx.doi.org/10.1007/s003820100180")</f>
        <v>http://dx.doi.org/10.1007/s003820100180</v>
      </c>
      <c r="BG970" t="s">
        <v>74</v>
      </c>
      <c r="BH970" t="s">
        <v>74</v>
      </c>
      <c r="BI970">
        <v>16</v>
      </c>
      <c r="BJ970" t="s">
        <v>403</v>
      </c>
      <c r="BK970" t="s">
        <v>170</v>
      </c>
      <c r="BL970" t="s">
        <v>403</v>
      </c>
      <c r="BM970" t="s">
        <v>13064</v>
      </c>
      <c r="BN970" t="s">
        <v>74</v>
      </c>
      <c r="BO970" t="s">
        <v>74</v>
      </c>
      <c r="BP970" t="s">
        <v>74</v>
      </c>
      <c r="BQ970" t="s">
        <v>74</v>
      </c>
      <c r="BR970" t="s">
        <v>107</v>
      </c>
      <c r="BS970" t="s">
        <v>13065</v>
      </c>
      <c r="BT970" t="str">
        <f>HYPERLINK("https%3A%2F%2Fwww.webofscience.com%2Fwos%2Fwoscc%2Ffull-record%2FWOS:000173099400005","View Full Record in Web of Science")</f>
        <v>View Full Record in Web of Science</v>
      </c>
    </row>
    <row r="971" spans="1:72" x14ac:dyDescent="0.15">
      <c r="A971" t="s">
        <v>72</v>
      </c>
      <c r="B971" t="s">
        <v>13066</v>
      </c>
      <c r="C971" t="s">
        <v>74</v>
      </c>
      <c r="D971" t="s">
        <v>74</v>
      </c>
      <c r="E971" t="s">
        <v>74</v>
      </c>
      <c r="F971" t="s">
        <v>13066</v>
      </c>
      <c r="G971" t="s">
        <v>74</v>
      </c>
      <c r="H971" t="s">
        <v>74</v>
      </c>
      <c r="I971" t="s">
        <v>13067</v>
      </c>
      <c r="J971" t="s">
        <v>13068</v>
      </c>
      <c r="K971" t="s">
        <v>74</v>
      </c>
      <c r="L971" t="s">
        <v>74</v>
      </c>
      <c r="M971" t="s">
        <v>77</v>
      </c>
      <c r="N971" t="s">
        <v>153</v>
      </c>
      <c r="O971" t="s">
        <v>74</v>
      </c>
      <c r="P971" t="s">
        <v>74</v>
      </c>
      <c r="Q971" t="s">
        <v>74</v>
      </c>
      <c r="R971" t="s">
        <v>74</v>
      </c>
      <c r="S971" t="s">
        <v>74</v>
      </c>
      <c r="T971" t="s">
        <v>13069</v>
      </c>
      <c r="U971" t="s">
        <v>13070</v>
      </c>
      <c r="V971" t="s">
        <v>13071</v>
      </c>
      <c r="W971" t="s">
        <v>13072</v>
      </c>
      <c r="X971" t="s">
        <v>13073</v>
      </c>
      <c r="Y971" t="s">
        <v>13074</v>
      </c>
      <c r="Z971" t="s">
        <v>74</v>
      </c>
      <c r="AA971" t="s">
        <v>2499</v>
      </c>
      <c r="AB971" t="s">
        <v>2500</v>
      </c>
      <c r="AC971" t="s">
        <v>74</v>
      </c>
      <c r="AD971" t="s">
        <v>74</v>
      </c>
      <c r="AE971" t="s">
        <v>74</v>
      </c>
      <c r="AF971" t="s">
        <v>74</v>
      </c>
      <c r="AG971">
        <v>42</v>
      </c>
      <c r="AH971">
        <v>23</v>
      </c>
      <c r="AI971">
        <v>26</v>
      </c>
      <c r="AJ971">
        <v>0</v>
      </c>
      <c r="AK971">
        <v>2</v>
      </c>
      <c r="AL971" t="s">
        <v>1460</v>
      </c>
      <c r="AM971" t="s">
        <v>1127</v>
      </c>
      <c r="AN971" t="s">
        <v>1461</v>
      </c>
      <c r="AO971" t="s">
        <v>13075</v>
      </c>
      <c r="AP971" t="s">
        <v>74</v>
      </c>
      <c r="AQ971" t="s">
        <v>74</v>
      </c>
      <c r="AR971" t="s">
        <v>13076</v>
      </c>
      <c r="AS971" t="s">
        <v>13077</v>
      </c>
      <c r="AT971" t="s">
        <v>12734</v>
      </c>
      <c r="AU971">
        <v>2001</v>
      </c>
      <c r="AV971">
        <v>22</v>
      </c>
      <c r="AW971">
        <v>6</v>
      </c>
      <c r="AX971" t="s">
        <v>74</v>
      </c>
      <c r="AY971" t="s">
        <v>74</v>
      </c>
      <c r="AZ971" t="s">
        <v>74</v>
      </c>
      <c r="BA971" t="s">
        <v>74</v>
      </c>
      <c r="BB971">
        <v>779</v>
      </c>
      <c r="BC971">
        <v>793</v>
      </c>
      <c r="BD971" t="s">
        <v>74</v>
      </c>
      <c r="BE971" t="s">
        <v>13078</v>
      </c>
      <c r="BF971" t="str">
        <f>HYPERLINK("http://dx.doi.org/10.1006/cres.2001.0286","http://dx.doi.org/10.1006/cres.2001.0286")</f>
        <v>http://dx.doi.org/10.1006/cres.2001.0286</v>
      </c>
      <c r="BG971" t="s">
        <v>74</v>
      </c>
      <c r="BH971" t="s">
        <v>74</v>
      </c>
      <c r="BI971">
        <v>15</v>
      </c>
      <c r="BJ971" t="s">
        <v>5315</v>
      </c>
      <c r="BK971" t="s">
        <v>170</v>
      </c>
      <c r="BL971" t="s">
        <v>5315</v>
      </c>
      <c r="BM971" t="s">
        <v>13079</v>
      </c>
      <c r="BN971" t="s">
        <v>74</v>
      </c>
      <c r="BO971" t="s">
        <v>74</v>
      </c>
      <c r="BP971" t="s">
        <v>74</v>
      </c>
      <c r="BQ971" t="s">
        <v>74</v>
      </c>
      <c r="BR971" t="s">
        <v>107</v>
      </c>
      <c r="BS971" t="s">
        <v>13080</v>
      </c>
      <c r="BT971" t="str">
        <f>HYPERLINK("https%3A%2F%2Fwww.webofscience.com%2Fwos%2Fwoscc%2Ffull-record%2FWOS:000174643700009","View Full Record in Web of Science")</f>
        <v>View Full Record in Web of Science</v>
      </c>
    </row>
    <row r="972" spans="1:72" x14ac:dyDescent="0.15">
      <c r="A972" t="s">
        <v>72</v>
      </c>
      <c r="B972" t="s">
        <v>13081</v>
      </c>
      <c r="C972" t="s">
        <v>74</v>
      </c>
      <c r="D972" t="s">
        <v>74</v>
      </c>
      <c r="E972" t="s">
        <v>74</v>
      </c>
      <c r="F972" t="s">
        <v>13081</v>
      </c>
      <c r="G972" t="s">
        <v>74</v>
      </c>
      <c r="H972" t="s">
        <v>74</v>
      </c>
      <c r="I972" t="s">
        <v>13082</v>
      </c>
      <c r="J972" t="s">
        <v>1139</v>
      </c>
      <c r="K972" t="s">
        <v>74</v>
      </c>
      <c r="L972" t="s">
        <v>74</v>
      </c>
      <c r="M972" t="s">
        <v>77</v>
      </c>
      <c r="N972" t="s">
        <v>153</v>
      </c>
      <c r="O972" t="s">
        <v>74</v>
      </c>
      <c r="P972" t="s">
        <v>74</v>
      </c>
      <c r="Q972" t="s">
        <v>74</v>
      </c>
      <c r="R972" t="s">
        <v>74</v>
      </c>
      <c r="S972" t="s">
        <v>74</v>
      </c>
      <c r="T972" t="s">
        <v>13083</v>
      </c>
      <c r="U972" t="s">
        <v>13084</v>
      </c>
      <c r="V972" t="s">
        <v>13085</v>
      </c>
      <c r="W972" t="s">
        <v>13086</v>
      </c>
      <c r="X972" t="s">
        <v>13087</v>
      </c>
      <c r="Y972" t="s">
        <v>13088</v>
      </c>
      <c r="Z972" t="s">
        <v>13089</v>
      </c>
      <c r="AA972" t="s">
        <v>74</v>
      </c>
      <c r="AB972" t="s">
        <v>74</v>
      </c>
      <c r="AC972" t="s">
        <v>74</v>
      </c>
      <c r="AD972" t="s">
        <v>74</v>
      </c>
      <c r="AE972" t="s">
        <v>74</v>
      </c>
      <c r="AF972" t="s">
        <v>74</v>
      </c>
      <c r="AG972">
        <v>94</v>
      </c>
      <c r="AH972">
        <v>43</v>
      </c>
      <c r="AI972">
        <v>53</v>
      </c>
      <c r="AJ972">
        <v>0</v>
      </c>
      <c r="AK972">
        <v>8</v>
      </c>
      <c r="AL972" t="s">
        <v>1013</v>
      </c>
      <c r="AM972" t="s">
        <v>895</v>
      </c>
      <c r="AN972" t="s">
        <v>1014</v>
      </c>
      <c r="AO972" t="s">
        <v>1149</v>
      </c>
      <c r="AP972" t="s">
        <v>1150</v>
      </c>
      <c r="AQ972" t="s">
        <v>74</v>
      </c>
      <c r="AR972" t="s">
        <v>1151</v>
      </c>
      <c r="AS972" t="s">
        <v>1152</v>
      </c>
      <c r="AT972" t="s">
        <v>12734</v>
      </c>
      <c r="AU972">
        <v>2001</v>
      </c>
      <c r="AV972">
        <v>48</v>
      </c>
      <c r="AW972">
        <v>12</v>
      </c>
      <c r="AX972" t="s">
        <v>74</v>
      </c>
      <c r="AY972" t="s">
        <v>74</v>
      </c>
      <c r="AZ972" t="s">
        <v>74</v>
      </c>
      <c r="BA972" t="s">
        <v>74</v>
      </c>
      <c r="BB972">
        <v>2645</v>
      </c>
      <c r="BC972">
        <v>2671</v>
      </c>
      <c r="BD972" t="s">
        <v>74</v>
      </c>
      <c r="BE972" t="s">
        <v>13090</v>
      </c>
      <c r="BF972" t="str">
        <f>HYPERLINK("http://dx.doi.org/10.1016/S0967-0637(01)00034-6","http://dx.doi.org/10.1016/S0967-0637(01)00034-6")</f>
        <v>http://dx.doi.org/10.1016/S0967-0637(01)00034-6</v>
      </c>
      <c r="BG972" t="s">
        <v>74</v>
      </c>
      <c r="BH972" t="s">
        <v>74</v>
      </c>
      <c r="BI972">
        <v>27</v>
      </c>
      <c r="BJ972" t="s">
        <v>1155</v>
      </c>
      <c r="BK972" t="s">
        <v>170</v>
      </c>
      <c r="BL972" t="s">
        <v>1155</v>
      </c>
      <c r="BM972" t="s">
        <v>13091</v>
      </c>
      <c r="BN972" t="s">
        <v>74</v>
      </c>
      <c r="BO972" t="s">
        <v>74</v>
      </c>
      <c r="BP972" t="s">
        <v>74</v>
      </c>
      <c r="BQ972" t="s">
        <v>74</v>
      </c>
      <c r="BR972" t="s">
        <v>107</v>
      </c>
      <c r="BS972" t="s">
        <v>13092</v>
      </c>
      <c r="BT972" t="str">
        <f>HYPERLINK("https%3A%2F%2Fwww.webofscience.com%2Fwos%2Fwoscc%2Ffull-record%2FWOS:000171478100006","View Full Record in Web of Science")</f>
        <v>View Full Record in Web of Science</v>
      </c>
    </row>
    <row r="973" spans="1:72" x14ac:dyDescent="0.15">
      <c r="A973" t="s">
        <v>72</v>
      </c>
      <c r="B973" t="s">
        <v>13093</v>
      </c>
      <c r="C973" t="s">
        <v>74</v>
      </c>
      <c r="D973" t="s">
        <v>74</v>
      </c>
      <c r="E973" t="s">
        <v>74</v>
      </c>
      <c r="F973" t="s">
        <v>13093</v>
      </c>
      <c r="G973" t="s">
        <v>74</v>
      </c>
      <c r="H973" t="s">
        <v>74</v>
      </c>
      <c r="I973" t="s">
        <v>13094</v>
      </c>
      <c r="J973" t="s">
        <v>1139</v>
      </c>
      <c r="K973" t="s">
        <v>74</v>
      </c>
      <c r="L973" t="s">
        <v>74</v>
      </c>
      <c r="M973" t="s">
        <v>77</v>
      </c>
      <c r="N973" t="s">
        <v>153</v>
      </c>
      <c r="O973" t="s">
        <v>74</v>
      </c>
      <c r="P973" t="s">
        <v>74</v>
      </c>
      <c r="Q973" t="s">
        <v>74</v>
      </c>
      <c r="R973" t="s">
        <v>74</v>
      </c>
      <c r="S973" t="s">
        <v>74</v>
      </c>
      <c r="T973" t="s">
        <v>13095</v>
      </c>
      <c r="U973" t="s">
        <v>13096</v>
      </c>
      <c r="V973" t="s">
        <v>13097</v>
      </c>
      <c r="W973" t="s">
        <v>5591</v>
      </c>
      <c r="X973" t="s">
        <v>3012</v>
      </c>
      <c r="Y973" t="s">
        <v>5592</v>
      </c>
      <c r="Z973" t="s">
        <v>13098</v>
      </c>
      <c r="AA973" t="s">
        <v>13099</v>
      </c>
      <c r="AB973" t="s">
        <v>13100</v>
      </c>
      <c r="AC973" t="s">
        <v>74</v>
      </c>
      <c r="AD973" t="s">
        <v>74</v>
      </c>
      <c r="AE973" t="s">
        <v>74</v>
      </c>
      <c r="AF973" t="s">
        <v>74</v>
      </c>
      <c r="AG973">
        <v>48</v>
      </c>
      <c r="AH973">
        <v>40</v>
      </c>
      <c r="AI973">
        <v>43</v>
      </c>
      <c r="AJ973">
        <v>2</v>
      </c>
      <c r="AK973">
        <v>13</v>
      </c>
      <c r="AL973" t="s">
        <v>1013</v>
      </c>
      <c r="AM973" t="s">
        <v>895</v>
      </c>
      <c r="AN973" t="s">
        <v>1014</v>
      </c>
      <c r="AO973" t="s">
        <v>1149</v>
      </c>
      <c r="AP973" t="s">
        <v>1150</v>
      </c>
      <c r="AQ973" t="s">
        <v>74</v>
      </c>
      <c r="AR973" t="s">
        <v>1151</v>
      </c>
      <c r="AS973" t="s">
        <v>1152</v>
      </c>
      <c r="AT973" t="s">
        <v>12734</v>
      </c>
      <c r="AU973">
        <v>2001</v>
      </c>
      <c r="AV973">
        <v>48</v>
      </c>
      <c r="AW973">
        <v>12</v>
      </c>
      <c r="AX973" t="s">
        <v>74</v>
      </c>
      <c r="AY973" t="s">
        <v>74</v>
      </c>
      <c r="AZ973" t="s">
        <v>74</v>
      </c>
      <c r="BA973" t="s">
        <v>74</v>
      </c>
      <c r="BB973">
        <v>2673</v>
      </c>
      <c r="BC973">
        <v>2697</v>
      </c>
      <c r="BD973" t="s">
        <v>74</v>
      </c>
      <c r="BE973" t="s">
        <v>13101</v>
      </c>
      <c r="BF973" t="str">
        <f>HYPERLINK("http://dx.doi.org/10.1016/S0967-0637(01)00037-1","http://dx.doi.org/10.1016/S0967-0637(01)00037-1")</f>
        <v>http://dx.doi.org/10.1016/S0967-0637(01)00037-1</v>
      </c>
      <c r="BG973" t="s">
        <v>74</v>
      </c>
      <c r="BH973" t="s">
        <v>74</v>
      </c>
      <c r="BI973">
        <v>25</v>
      </c>
      <c r="BJ973" t="s">
        <v>1155</v>
      </c>
      <c r="BK973" t="s">
        <v>170</v>
      </c>
      <c r="BL973" t="s">
        <v>1155</v>
      </c>
      <c r="BM973" t="s">
        <v>13091</v>
      </c>
      <c r="BN973" t="s">
        <v>74</v>
      </c>
      <c r="BO973" t="s">
        <v>74</v>
      </c>
      <c r="BP973" t="s">
        <v>74</v>
      </c>
      <c r="BQ973" t="s">
        <v>74</v>
      </c>
      <c r="BR973" t="s">
        <v>107</v>
      </c>
      <c r="BS973" t="s">
        <v>13102</v>
      </c>
      <c r="BT973" t="str">
        <f>HYPERLINK("https%3A%2F%2Fwww.webofscience.com%2Fwos%2Fwoscc%2Ffull-record%2FWOS:000171478100007","View Full Record in Web of Science")</f>
        <v>View Full Record in Web of Science</v>
      </c>
    </row>
    <row r="974" spans="1:72" x14ac:dyDescent="0.15">
      <c r="A974" t="s">
        <v>72</v>
      </c>
      <c r="B974" t="s">
        <v>13103</v>
      </c>
      <c r="C974" t="s">
        <v>74</v>
      </c>
      <c r="D974" t="s">
        <v>74</v>
      </c>
      <c r="E974" t="s">
        <v>74</v>
      </c>
      <c r="F974" t="s">
        <v>13103</v>
      </c>
      <c r="G974" t="s">
        <v>74</v>
      </c>
      <c r="H974" t="s">
        <v>74</v>
      </c>
      <c r="I974" t="s">
        <v>13104</v>
      </c>
      <c r="J974" t="s">
        <v>13105</v>
      </c>
      <c r="K974" t="s">
        <v>74</v>
      </c>
      <c r="L974" t="s">
        <v>74</v>
      </c>
      <c r="M974" t="s">
        <v>77</v>
      </c>
      <c r="N974" t="s">
        <v>947</v>
      </c>
      <c r="O974" t="s">
        <v>74</v>
      </c>
      <c r="P974" t="s">
        <v>74</v>
      </c>
      <c r="Q974" t="s">
        <v>74</v>
      </c>
      <c r="R974" t="s">
        <v>74</v>
      </c>
      <c r="S974" t="s">
        <v>74</v>
      </c>
      <c r="T974" t="s">
        <v>13106</v>
      </c>
      <c r="U974" t="s">
        <v>13107</v>
      </c>
      <c r="V974" t="s">
        <v>13108</v>
      </c>
      <c r="W974" t="s">
        <v>13109</v>
      </c>
      <c r="X974" t="s">
        <v>13110</v>
      </c>
      <c r="Y974" t="s">
        <v>13111</v>
      </c>
      <c r="Z974" t="s">
        <v>13112</v>
      </c>
      <c r="AA974" t="s">
        <v>74</v>
      </c>
      <c r="AB974" t="s">
        <v>74</v>
      </c>
      <c r="AC974" t="s">
        <v>74</v>
      </c>
      <c r="AD974" t="s">
        <v>74</v>
      </c>
      <c r="AE974" t="s">
        <v>74</v>
      </c>
      <c r="AF974" t="s">
        <v>74</v>
      </c>
      <c r="AG974">
        <v>692</v>
      </c>
      <c r="AH974">
        <v>88</v>
      </c>
      <c r="AI974">
        <v>109</v>
      </c>
      <c r="AJ974">
        <v>4</v>
      </c>
      <c r="AK974">
        <v>67</v>
      </c>
      <c r="AL974" t="s">
        <v>90</v>
      </c>
      <c r="AM974" t="s">
        <v>91</v>
      </c>
      <c r="AN974" t="s">
        <v>92</v>
      </c>
      <c r="AO974" t="s">
        <v>13113</v>
      </c>
      <c r="AP974" t="s">
        <v>13114</v>
      </c>
      <c r="AQ974" t="s">
        <v>74</v>
      </c>
      <c r="AR974" t="s">
        <v>13115</v>
      </c>
      <c r="AS974" t="s">
        <v>13116</v>
      </c>
      <c r="AT974" t="s">
        <v>12734</v>
      </c>
      <c r="AU974">
        <v>2001</v>
      </c>
      <c r="AV974">
        <v>56</v>
      </c>
      <c r="AW974" t="s">
        <v>1834</v>
      </c>
      <c r="AX974" t="s">
        <v>74</v>
      </c>
      <c r="AY974" t="s">
        <v>74</v>
      </c>
      <c r="AZ974" t="s">
        <v>74</v>
      </c>
      <c r="BA974" t="s">
        <v>74</v>
      </c>
      <c r="BB974">
        <v>1</v>
      </c>
      <c r="BC974">
        <v>159</v>
      </c>
      <c r="BD974" t="s">
        <v>74</v>
      </c>
      <c r="BE974" t="s">
        <v>13117</v>
      </c>
      <c r="BF974" t="str">
        <f>HYPERLINK("http://dx.doi.org/10.1016/S0012-8252(01)00066-6","http://dx.doi.org/10.1016/S0012-8252(01)00066-6")</f>
        <v>http://dx.doi.org/10.1016/S0012-8252(01)00066-6</v>
      </c>
      <c r="BG974" t="s">
        <v>74</v>
      </c>
      <c r="BH974" t="s">
        <v>74</v>
      </c>
      <c r="BI974">
        <v>159</v>
      </c>
      <c r="BJ974" t="s">
        <v>608</v>
      </c>
      <c r="BK974" t="s">
        <v>170</v>
      </c>
      <c r="BL974" t="s">
        <v>439</v>
      </c>
      <c r="BM974" t="s">
        <v>13118</v>
      </c>
      <c r="BN974" t="s">
        <v>74</v>
      </c>
      <c r="BO974" t="s">
        <v>74</v>
      </c>
      <c r="BP974" t="s">
        <v>74</v>
      </c>
      <c r="BQ974" t="s">
        <v>74</v>
      </c>
      <c r="BR974" t="s">
        <v>107</v>
      </c>
      <c r="BS974" t="s">
        <v>13119</v>
      </c>
      <c r="BT974" t="str">
        <f>HYPERLINK("https%3A%2F%2Fwww.webofscience.com%2Fwos%2Fwoscc%2Ffull-record%2FWOS:000172668100001","View Full Record in Web of Science")</f>
        <v>View Full Record in Web of Science</v>
      </c>
    </row>
    <row r="975" spans="1:72" x14ac:dyDescent="0.15">
      <c r="A975" t="s">
        <v>72</v>
      </c>
      <c r="B975" t="s">
        <v>13120</v>
      </c>
      <c r="C975" t="s">
        <v>74</v>
      </c>
      <c r="D975" t="s">
        <v>74</v>
      </c>
      <c r="E975" t="s">
        <v>74</v>
      </c>
      <c r="F975" t="s">
        <v>13120</v>
      </c>
      <c r="G975" t="s">
        <v>74</v>
      </c>
      <c r="H975" t="s">
        <v>74</v>
      </c>
      <c r="I975" t="s">
        <v>13121</v>
      </c>
      <c r="J975" t="s">
        <v>1262</v>
      </c>
      <c r="K975" t="s">
        <v>74</v>
      </c>
      <c r="L975" t="s">
        <v>74</v>
      </c>
      <c r="M975" t="s">
        <v>77</v>
      </c>
      <c r="N975" t="s">
        <v>751</v>
      </c>
      <c r="O975" t="s">
        <v>74</v>
      </c>
      <c r="P975" t="s">
        <v>74</v>
      </c>
      <c r="Q975" t="s">
        <v>74</v>
      </c>
      <c r="R975" t="s">
        <v>74</v>
      </c>
      <c r="S975" t="s">
        <v>74</v>
      </c>
      <c r="T975" t="s">
        <v>74</v>
      </c>
      <c r="U975" t="s">
        <v>74</v>
      </c>
      <c r="V975" t="s">
        <v>74</v>
      </c>
      <c r="W975" t="s">
        <v>851</v>
      </c>
      <c r="X975" t="s">
        <v>852</v>
      </c>
      <c r="Y975" t="s">
        <v>13122</v>
      </c>
      <c r="Z975" t="s">
        <v>74</v>
      </c>
      <c r="AA975" t="s">
        <v>74</v>
      </c>
      <c r="AB975" t="s">
        <v>13123</v>
      </c>
      <c r="AC975" t="s">
        <v>74</v>
      </c>
      <c r="AD975" t="s">
        <v>74</v>
      </c>
      <c r="AE975" t="s">
        <v>74</v>
      </c>
      <c r="AF975" t="s">
        <v>74</v>
      </c>
      <c r="AG975">
        <v>0</v>
      </c>
      <c r="AH975">
        <v>4</v>
      </c>
      <c r="AI975">
        <v>4</v>
      </c>
      <c r="AJ975">
        <v>0</v>
      </c>
      <c r="AK975">
        <v>4</v>
      </c>
      <c r="AL975" t="s">
        <v>132</v>
      </c>
      <c r="AM975" t="s">
        <v>91</v>
      </c>
      <c r="AN975" t="s">
        <v>133</v>
      </c>
      <c r="AO975" t="s">
        <v>1270</v>
      </c>
      <c r="AP975" t="s">
        <v>74</v>
      </c>
      <c r="AQ975" t="s">
        <v>74</v>
      </c>
      <c r="AR975" t="s">
        <v>1271</v>
      </c>
      <c r="AS975" t="s">
        <v>1272</v>
      </c>
      <c r="AT975" t="s">
        <v>12734</v>
      </c>
      <c r="AU975">
        <v>2001</v>
      </c>
      <c r="AV975">
        <v>54</v>
      </c>
      <c r="AW975">
        <v>1</v>
      </c>
      <c r="AX975" t="s">
        <v>74</v>
      </c>
      <c r="AY975" t="s">
        <v>74</v>
      </c>
      <c r="AZ975" t="s">
        <v>74</v>
      </c>
      <c r="BA975" t="s">
        <v>74</v>
      </c>
      <c r="BB975">
        <v>1</v>
      </c>
      <c r="BC975">
        <v>1</v>
      </c>
      <c r="BD975" t="s">
        <v>74</v>
      </c>
      <c r="BE975" t="s">
        <v>13124</v>
      </c>
      <c r="BF975" t="str">
        <f>HYPERLINK("http://dx.doi.org/10.1016/S0165-7836(01)00369-1","http://dx.doi.org/10.1016/S0165-7836(01)00369-1")</f>
        <v>http://dx.doi.org/10.1016/S0165-7836(01)00369-1</v>
      </c>
      <c r="BG975" t="s">
        <v>74</v>
      </c>
      <c r="BH975" t="s">
        <v>74</v>
      </c>
      <c r="BI975">
        <v>1</v>
      </c>
      <c r="BJ975" t="s">
        <v>1275</v>
      </c>
      <c r="BK975" t="s">
        <v>170</v>
      </c>
      <c r="BL975" t="s">
        <v>1275</v>
      </c>
      <c r="BM975" t="s">
        <v>13125</v>
      </c>
      <c r="BN975" t="s">
        <v>74</v>
      </c>
      <c r="BO975" t="s">
        <v>74</v>
      </c>
      <c r="BP975" t="s">
        <v>74</v>
      </c>
      <c r="BQ975" t="s">
        <v>74</v>
      </c>
      <c r="BR975" t="s">
        <v>107</v>
      </c>
      <c r="BS975" t="s">
        <v>13126</v>
      </c>
      <c r="BT975" t="str">
        <f>HYPERLINK("https%3A%2F%2Fwww.webofscience.com%2Fwos%2Fwoscc%2Ffull-record%2FWOS:000172332600001","View Full Record in Web of Science")</f>
        <v>View Full Record in Web of Science</v>
      </c>
    </row>
    <row r="976" spans="1:72" x14ac:dyDescent="0.15">
      <c r="A976" t="s">
        <v>72</v>
      </c>
      <c r="B976" t="s">
        <v>13127</v>
      </c>
      <c r="C976" t="s">
        <v>74</v>
      </c>
      <c r="D976" t="s">
        <v>74</v>
      </c>
      <c r="E976" t="s">
        <v>74</v>
      </c>
      <c r="F976" t="s">
        <v>13127</v>
      </c>
      <c r="G976" t="s">
        <v>74</v>
      </c>
      <c r="H976" t="s">
        <v>74</v>
      </c>
      <c r="I976" t="s">
        <v>13128</v>
      </c>
      <c r="J976" t="s">
        <v>1262</v>
      </c>
      <c r="K976" t="s">
        <v>74</v>
      </c>
      <c r="L976" t="s">
        <v>74</v>
      </c>
      <c r="M976" t="s">
        <v>77</v>
      </c>
      <c r="N976" t="s">
        <v>78</v>
      </c>
      <c r="O976" t="s">
        <v>13129</v>
      </c>
      <c r="P976" t="s">
        <v>13130</v>
      </c>
      <c r="Q976" t="s">
        <v>13131</v>
      </c>
      <c r="R976" t="s">
        <v>74</v>
      </c>
      <c r="S976" t="s">
        <v>74</v>
      </c>
      <c r="T976" t="s">
        <v>13132</v>
      </c>
      <c r="U976" t="s">
        <v>13133</v>
      </c>
      <c r="V976" t="s">
        <v>13134</v>
      </c>
      <c r="W976" t="s">
        <v>851</v>
      </c>
      <c r="X976" t="s">
        <v>852</v>
      </c>
      <c r="Y976" t="s">
        <v>268</v>
      </c>
      <c r="Z976" t="s">
        <v>13135</v>
      </c>
      <c r="AA976" t="s">
        <v>74</v>
      </c>
      <c r="AB976" t="s">
        <v>2468</v>
      </c>
      <c r="AC976" t="s">
        <v>74</v>
      </c>
      <c r="AD976" t="s">
        <v>74</v>
      </c>
      <c r="AE976" t="s">
        <v>74</v>
      </c>
      <c r="AF976" t="s">
        <v>74</v>
      </c>
      <c r="AG976">
        <v>40</v>
      </c>
      <c r="AH976">
        <v>98</v>
      </c>
      <c r="AI976">
        <v>143</v>
      </c>
      <c r="AJ976">
        <v>3</v>
      </c>
      <c r="AK976">
        <v>27</v>
      </c>
      <c r="AL976" t="s">
        <v>90</v>
      </c>
      <c r="AM976" t="s">
        <v>91</v>
      </c>
      <c r="AN976" t="s">
        <v>92</v>
      </c>
      <c r="AO976" t="s">
        <v>1270</v>
      </c>
      <c r="AP976" t="s">
        <v>13136</v>
      </c>
      <c r="AQ976" t="s">
        <v>74</v>
      </c>
      <c r="AR976" t="s">
        <v>1271</v>
      </c>
      <c r="AS976" t="s">
        <v>1272</v>
      </c>
      <c r="AT976" t="s">
        <v>12734</v>
      </c>
      <c r="AU976">
        <v>2001</v>
      </c>
      <c r="AV976">
        <v>54</v>
      </c>
      <c r="AW976">
        <v>1</v>
      </c>
      <c r="AX976" t="s">
        <v>74</v>
      </c>
      <c r="AY976" t="s">
        <v>74</v>
      </c>
      <c r="AZ976" t="s">
        <v>74</v>
      </c>
      <c r="BA976" t="s">
        <v>74</v>
      </c>
      <c r="BB976">
        <v>3</v>
      </c>
      <c r="BC976">
        <v>8</v>
      </c>
      <c r="BD976" t="s">
        <v>74</v>
      </c>
      <c r="BE976" t="s">
        <v>13137</v>
      </c>
      <c r="BF976" t="str">
        <f>HYPERLINK("http://dx.doi.org/10.1016/S0165-7836(01)00370-8","http://dx.doi.org/10.1016/S0165-7836(01)00370-8")</f>
        <v>http://dx.doi.org/10.1016/S0165-7836(01)00370-8</v>
      </c>
      <c r="BG976" t="s">
        <v>74</v>
      </c>
      <c r="BH976" t="s">
        <v>74</v>
      </c>
      <c r="BI976">
        <v>6</v>
      </c>
      <c r="BJ976" t="s">
        <v>1275</v>
      </c>
      <c r="BK976" t="s">
        <v>103</v>
      </c>
      <c r="BL976" t="s">
        <v>1275</v>
      </c>
      <c r="BM976" t="s">
        <v>13125</v>
      </c>
      <c r="BN976" t="s">
        <v>74</v>
      </c>
      <c r="BO976" t="s">
        <v>74</v>
      </c>
      <c r="BP976" t="s">
        <v>74</v>
      </c>
      <c r="BQ976" t="s">
        <v>74</v>
      </c>
      <c r="BR976" t="s">
        <v>107</v>
      </c>
      <c r="BS976" t="s">
        <v>13138</v>
      </c>
      <c r="BT976" t="str">
        <f>HYPERLINK("https%3A%2F%2Fwww.webofscience.com%2Fwos%2Fwoscc%2Ffull-record%2FWOS:000172332600002","View Full Record in Web of Science")</f>
        <v>View Full Record in Web of Science</v>
      </c>
    </row>
    <row r="977" spans="1:72" x14ac:dyDescent="0.15">
      <c r="A977" t="s">
        <v>72</v>
      </c>
      <c r="B977" t="s">
        <v>2464</v>
      </c>
      <c r="C977" t="s">
        <v>74</v>
      </c>
      <c r="D977" t="s">
        <v>74</v>
      </c>
      <c r="E977" t="s">
        <v>74</v>
      </c>
      <c r="F977" t="s">
        <v>2464</v>
      </c>
      <c r="G977" t="s">
        <v>74</v>
      </c>
      <c r="H977" t="s">
        <v>74</v>
      </c>
      <c r="I977" t="s">
        <v>13139</v>
      </c>
      <c r="J977" t="s">
        <v>1262</v>
      </c>
      <c r="K977" t="s">
        <v>74</v>
      </c>
      <c r="L977" t="s">
        <v>74</v>
      </c>
      <c r="M977" t="s">
        <v>77</v>
      </c>
      <c r="N977" t="s">
        <v>78</v>
      </c>
      <c r="O977" t="s">
        <v>13129</v>
      </c>
      <c r="P977" t="s">
        <v>13130</v>
      </c>
      <c r="Q977" t="s">
        <v>13131</v>
      </c>
      <c r="R977" t="s">
        <v>74</v>
      </c>
      <c r="S977" t="s">
        <v>74</v>
      </c>
      <c r="T977" t="s">
        <v>13140</v>
      </c>
      <c r="U977" t="s">
        <v>13141</v>
      </c>
      <c r="V977" t="s">
        <v>13142</v>
      </c>
      <c r="W977" t="s">
        <v>2466</v>
      </c>
      <c r="X977" t="s">
        <v>852</v>
      </c>
      <c r="Y977" t="s">
        <v>300</v>
      </c>
      <c r="Z977" t="s">
        <v>13143</v>
      </c>
      <c r="AA977" t="s">
        <v>74</v>
      </c>
      <c r="AB977" t="s">
        <v>2468</v>
      </c>
      <c r="AC977" t="s">
        <v>74</v>
      </c>
      <c r="AD977" t="s">
        <v>74</v>
      </c>
      <c r="AE977" t="s">
        <v>74</v>
      </c>
      <c r="AF977" t="s">
        <v>74</v>
      </c>
      <c r="AG977">
        <v>15</v>
      </c>
      <c r="AH977">
        <v>25</v>
      </c>
      <c r="AI977">
        <v>30</v>
      </c>
      <c r="AJ977">
        <v>0</v>
      </c>
      <c r="AK977">
        <v>5</v>
      </c>
      <c r="AL977" t="s">
        <v>90</v>
      </c>
      <c r="AM977" t="s">
        <v>91</v>
      </c>
      <c r="AN977" t="s">
        <v>92</v>
      </c>
      <c r="AO977" t="s">
        <v>1270</v>
      </c>
      <c r="AP977" t="s">
        <v>13136</v>
      </c>
      <c r="AQ977" t="s">
        <v>74</v>
      </c>
      <c r="AR977" t="s">
        <v>1271</v>
      </c>
      <c r="AS977" t="s">
        <v>1272</v>
      </c>
      <c r="AT977" t="s">
        <v>12734</v>
      </c>
      <c r="AU977">
        <v>2001</v>
      </c>
      <c r="AV977">
        <v>54</v>
      </c>
      <c r="AW977">
        <v>1</v>
      </c>
      <c r="AX977" t="s">
        <v>74</v>
      </c>
      <c r="AY977" t="s">
        <v>74</v>
      </c>
      <c r="AZ977" t="s">
        <v>74</v>
      </c>
      <c r="BA977" t="s">
        <v>74</v>
      </c>
      <c r="BB977">
        <v>111</v>
      </c>
      <c r="BC977">
        <v>121</v>
      </c>
      <c r="BD977" t="s">
        <v>74</v>
      </c>
      <c r="BE977" t="s">
        <v>13144</v>
      </c>
      <c r="BF977" t="str">
        <f>HYPERLINK("http://dx.doi.org/10.1016/S0165-7836(01)00375-7","http://dx.doi.org/10.1016/S0165-7836(01)00375-7")</f>
        <v>http://dx.doi.org/10.1016/S0165-7836(01)00375-7</v>
      </c>
      <c r="BG977" t="s">
        <v>74</v>
      </c>
      <c r="BH977" t="s">
        <v>74</v>
      </c>
      <c r="BI977">
        <v>11</v>
      </c>
      <c r="BJ977" t="s">
        <v>1275</v>
      </c>
      <c r="BK977" t="s">
        <v>103</v>
      </c>
      <c r="BL977" t="s">
        <v>1275</v>
      </c>
      <c r="BM977" t="s">
        <v>13125</v>
      </c>
      <c r="BN977" t="s">
        <v>74</v>
      </c>
      <c r="BO977" t="s">
        <v>665</v>
      </c>
      <c r="BP977" t="s">
        <v>74</v>
      </c>
      <c r="BQ977" t="s">
        <v>74</v>
      </c>
      <c r="BR977" t="s">
        <v>107</v>
      </c>
      <c r="BS977" t="s">
        <v>13145</v>
      </c>
      <c r="BT977" t="str">
        <f>HYPERLINK("https%3A%2F%2Fwww.webofscience.com%2Fwos%2Fwoscc%2Ffull-record%2FWOS:000172332600010","View Full Record in Web of Science")</f>
        <v>View Full Record in Web of Science</v>
      </c>
    </row>
    <row r="978" spans="1:72" x14ac:dyDescent="0.15">
      <c r="A978" t="s">
        <v>72</v>
      </c>
      <c r="B978" t="s">
        <v>13146</v>
      </c>
      <c r="C978" t="s">
        <v>74</v>
      </c>
      <c r="D978" t="s">
        <v>74</v>
      </c>
      <c r="E978" t="s">
        <v>74</v>
      </c>
      <c r="F978" t="s">
        <v>13146</v>
      </c>
      <c r="G978" t="s">
        <v>74</v>
      </c>
      <c r="H978" t="s">
        <v>74</v>
      </c>
      <c r="I978" t="s">
        <v>13147</v>
      </c>
      <c r="J978" t="s">
        <v>1262</v>
      </c>
      <c r="K978" t="s">
        <v>74</v>
      </c>
      <c r="L978" t="s">
        <v>74</v>
      </c>
      <c r="M978" t="s">
        <v>77</v>
      </c>
      <c r="N978" t="s">
        <v>78</v>
      </c>
      <c r="O978" t="s">
        <v>13129</v>
      </c>
      <c r="P978" t="s">
        <v>13130</v>
      </c>
      <c r="Q978" t="s">
        <v>13131</v>
      </c>
      <c r="R978" t="s">
        <v>74</v>
      </c>
      <c r="S978" t="s">
        <v>74</v>
      </c>
      <c r="T978" t="s">
        <v>13148</v>
      </c>
      <c r="U978" t="s">
        <v>13149</v>
      </c>
      <c r="V978" t="s">
        <v>13150</v>
      </c>
      <c r="W978" t="s">
        <v>2466</v>
      </c>
      <c r="X978" t="s">
        <v>852</v>
      </c>
      <c r="Y978" t="s">
        <v>13151</v>
      </c>
      <c r="Z978" t="s">
        <v>74</v>
      </c>
      <c r="AA978" t="s">
        <v>74</v>
      </c>
      <c r="AB978" t="s">
        <v>2468</v>
      </c>
      <c r="AC978" t="s">
        <v>74</v>
      </c>
      <c r="AD978" t="s">
        <v>74</v>
      </c>
      <c r="AE978" t="s">
        <v>74</v>
      </c>
      <c r="AF978" t="s">
        <v>74</v>
      </c>
      <c r="AG978">
        <v>65</v>
      </c>
      <c r="AH978">
        <v>124</v>
      </c>
      <c r="AI978">
        <v>183</v>
      </c>
      <c r="AJ978">
        <v>9</v>
      </c>
      <c r="AK978">
        <v>53</v>
      </c>
      <c r="AL978" t="s">
        <v>132</v>
      </c>
      <c r="AM978" t="s">
        <v>91</v>
      </c>
      <c r="AN978" t="s">
        <v>133</v>
      </c>
      <c r="AO978" t="s">
        <v>1270</v>
      </c>
      <c r="AP978" t="s">
        <v>74</v>
      </c>
      <c r="AQ978" t="s">
        <v>74</v>
      </c>
      <c r="AR978" t="s">
        <v>1271</v>
      </c>
      <c r="AS978" t="s">
        <v>1272</v>
      </c>
      <c r="AT978" t="s">
        <v>12734</v>
      </c>
      <c r="AU978">
        <v>2001</v>
      </c>
      <c r="AV978">
        <v>54</v>
      </c>
      <c r="AW978">
        <v>1</v>
      </c>
      <c r="AX978" t="s">
        <v>74</v>
      </c>
      <c r="AY978" t="s">
        <v>74</v>
      </c>
      <c r="AZ978" t="s">
        <v>74</v>
      </c>
      <c r="BA978" t="s">
        <v>74</v>
      </c>
      <c r="BB978">
        <v>133</v>
      </c>
      <c r="BC978">
        <v>143</v>
      </c>
      <c r="BD978" t="s">
        <v>74</v>
      </c>
      <c r="BE978" t="s">
        <v>13152</v>
      </c>
      <c r="BF978" t="str">
        <f>HYPERLINK("http://dx.doi.org/10.1016/S0165-7836(01)00378-2","http://dx.doi.org/10.1016/S0165-7836(01)00378-2")</f>
        <v>http://dx.doi.org/10.1016/S0165-7836(01)00378-2</v>
      </c>
      <c r="BG978" t="s">
        <v>74</v>
      </c>
      <c r="BH978" t="s">
        <v>74</v>
      </c>
      <c r="BI978">
        <v>11</v>
      </c>
      <c r="BJ978" t="s">
        <v>1275</v>
      </c>
      <c r="BK978" t="s">
        <v>744</v>
      </c>
      <c r="BL978" t="s">
        <v>1275</v>
      </c>
      <c r="BM978" t="s">
        <v>13125</v>
      </c>
      <c r="BN978" t="s">
        <v>74</v>
      </c>
      <c r="BO978" t="s">
        <v>74</v>
      </c>
      <c r="BP978" t="s">
        <v>74</v>
      </c>
      <c r="BQ978" t="s">
        <v>74</v>
      </c>
      <c r="BR978" t="s">
        <v>107</v>
      </c>
      <c r="BS978" t="s">
        <v>13153</v>
      </c>
      <c r="BT978" t="str">
        <f>HYPERLINK("https%3A%2F%2Fwww.webofscience.com%2Fwos%2Fwoscc%2Ffull-record%2FWOS:000172332600012","View Full Record in Web of Science")</f>
        <v>View Full Record in Web of Science</v>
      </c>
    </row>
    <row r="979" spans="1:72" x14ac:dyDescent="0.15">
      <c r="A979" t="s">
        <v>72</v>
      </c>
      <c r="B979" t="s">
        <v>13154</v>
      </c>
      <c r="C979" t="s">
        <v>74</v>
      </c>
      <c r="D979" t="s">
        <v>74</v>
      </c>
      <c r="E979" t="s">
        <v>74</v>
      </c>
      <c r="F979" t="s">
        <v>13154</v>
      </c>
      <c r="G979" t="s">
        <v>74</v>
      </c>
      <c r="H979" t="s">
        <v>74</v>
      </c>
      <c r="I979" t="s">
        <v>13155</v>
      </c>
      <c r="J979" t="s">
        <v>13156</v>
      </c>
      <c r="K979" t="s">
        <v>74</v>
      </c>
      <c r="L979" t="s">
        <v>74</v>
      </c>
      <c r="M979" t="s">
        <v>77</v>
      </c>
      <c r="N979" t="s">
        <v>153</v>
      </c>
      <c r="O979" t="s">
        <v>74</v>
      </c>
      <c r="P979" t="s">
        <v>74</v>
      </c>
      <c r="Q979" t="s">
        <v>74</v>
      </c>
      <c r="R979" t="s">
        <v>74</v>
      </c>
      <c r="S979" t="s">
        <v>74</v>
      </c>
      <c r="T979" t="s">
        <v>74</v>
      </c>
      <c r="U979" t="s">
        <v>13157</v>
      </c>
      <c r="V979" t="s">
        <v>13158</v>
      </c>
      <c r="W979" t="s">
        <v>13159</v>
      </c>
      <c r="X979" t="s">
        <v>13160</v>
      </c>
      <c r="Y979" t="s">
        <v>300</v>
      </c>
      <c r="Z979" t="s">
        <v>13161</v>
      </c>
      <c r="AA979" t="s">
        <v>13162</v>
      </c>
      <c r="AB979" t="s">
        <v>13163</v>
      </c>
      <c r="AC979" t="s">
        <v>74</v>
      </c>
      <c r="AD979" t="s">
        <v>74</v>
      </c>
      <c r="AE979" t="s">
        <v>74</v>
      </c>
      <c r="AF979" t="s">
        <v>74</v>
      </c>
      <c r="AG979">
        <v>34</v>
      </c>
      <c r="AH979">
        <v>7</v>
      </c>
      <c r="AI979">
        <v>7</v>
      </c>
      <c r="AJ979">
        <v>0</v>
      </c>
      <c r="AK979">
        <v>2</v>
      </c>
      <c r="AL979" t="s">
        <v>13164</v>
      </c>
      <c r="AM979" t="s">
        <v>13165</v>
      </c>
      <c r="AN979" t="s">
        <v>13166</v>
      </c>
      <c r="AO979" t="s">
        <v>13167</v>
      </c>
      <c r="AP979" t="s">
        <v>13168</v>
      </c>
      <c r="AQ979" t="s">
        <v>74</v>
      </c>
      <c r="AR979" t="s">
        <v>13169</v>
      </c>
      <c r="AS979" t="s">
        <v>13170</v>
      </c>
      <c r="AT979" t="s">
        <v>12734</v>
      </c>
      <c r="AU979">
        <v>2001</v>
      </c>
      <c r="AV979">
        <v>9</v>
      </c>
      <c r="AW979">
        <v>4</v>
      </c>
      <c r="AX979" t="s">
        <v>74</v>
      </c>
      <c r="AY979" t="s">
        <v>74</v>
      </c>
      <c r="AZ979" t="s">
        <v>74</v>
      </c>
      <c r="BA979" t="s">
        <v>74</v>
      </c>
      <c r="BB979">
        <v>471</v>
      </c>
      <c r="BC979">
        <v>479</v>
      </c>
      <c r="BD979" t="s">
        <v>74</v>
      </c>
      <c r="BE979" t="s">
        <v>13171</v>
      </c>
      <c r="BF979" t="str">
        <f>HYPERLINK("http://dx.doi.org/10.1142/S0218348X01001123","http://dx.doi.org/10.1142/S0218348X01001123")</f>
        <v>http://dx.doi.org/10.1142/S0218348X01001123</v>
      </c>
      <c r="BG979" t="s">
        <v>74</v>
      </c>
      <c r="BH979" t="s">
        <v>74</v>
      </c>
      <c r="BI979">
        <v>9</v>
      </c>
      <c r="BJ979" t="s">
        <v>13172</v>
      </c>
      <c r="BK979" t="s">
        <v>170</v>
      </c>
      <c r="BL979" t="s">
        <v>13173</v>
      </c>
      <c r="BM979" t="s">
        <v>13174</v>
      </c>
      <c r="BN979" t="s">
        <v>74</v>
      </c>
      <c r="BO979" t="s">
        <v>665</v>
      </c>
      <c r="BP979" t="s">
        <v>74</v>
      </c>
      <c r="BQ979" t="s">
        <v>74</v>
      </c>
      <c r="BR979" t="s">
        <v>107</v>
      </c>
      <c r="BS979" t="s">
        <v>13175</v>
      </c>
      <c r="BT979" t="str">
        <f>HYPERLINK("https%3A%2F%2Fwww.webofscience.com%2Fwos%2Fwoscc%2Ffull-record%2FWOS:000173449400010","View Full Record in Web of Science")</f>
        <v>View Full Record in Web of Science</v>
      </c>
    </row>
    <row r="980" spans="1:72" x14ac:dyDescent="0.15">
      <c r="A980" t="s">
        <v>72</v>
      </c>
      <c r="B980" t="s">
        <v>13176</v>
      </c>
      <c r="C980" t="s">
        <v>74</v>
      </c>
      <c r="D980" t="s">
        <v>74</v>
      </c>
      <c r="E980" t="s">
        <v>74</v>
      </c>
      <c r="F980" t="s">
        <v>13176</v>
      </c>
      <c r="G980" t="s">
        <v>74</v>
      </c>
      <c r="H980" t="s">
        <v>74</v>
      </c>
      <c r="I980" t="s">
        <v>13177</v>
      </c>
      <c r="J980" t="s">
        <v>3920</v>
      </c>
      <c r="K980" t="s">
        <v>74</v>
      </c>
      <c r="L980" t="s">
        <v>74</v>
      </c>
      <c r="M980" t="s">
        <v>77</v>
      </c>
      <c r="N980" t="s">
        <v>153</v>
      </c>
      <c r="O980" t="s">
        <v>74</v>
      </c>
      <c r="P980" t="s">
        <v>74</v>
      </c>
      <c r="Q980" t="s">
        <v>74</v>
      </c>
      <c r="R980" t="s">
        <v>74</v>
      </c>
      <c r="S980" t="s">
        <v>74</v>
      </c>
      <c r="T980" t="s">
        <v>74</v>
      </c>
      <c r="U980" t="s">
        <v>13178</v>
      </c>
      <c r="V980" t="s">
        <v>13179</v>
      </c>
      <c r="W980" t="s">
        <v>13180</v>
      </c>
      <c r="X980" t="s">
        <v>2048</v>
      </c>
      <c r="Y980" t="s">
        <v>13181</v>
      </c>
      <c r="Z980" t="s">
        <v>74</v>
      </c>
      <c r="AA980" t="s">
        <v>74</v>
      </c>
      <c r="AB980" t="s">
        <v>74</v>
      </c>
      <c r="AC980" t="s">
        <v>74</v>
      </c>
      <c r="AD980" t="s">
        <v>74</v>
      </c>
      <c r="AE980" t="s">
        <v>74</v>
      </c>
      <c r="AF980" t="s">
        <v>74</v>
      </c>
      <c r="AG980">
        <v>84</v>
      </c>
      <c r="AH980">
        <v>49</v>
      </c>
      <c r="AI980">
        <v>50</v>
      </c>
      <c r="AJ980">
        <v>1</v>
      </c>
      <c r="AK980">
        <v>25</v>
      </c>
      <c r="AL980" t="s">
        <v>1013</v>
      </c>
      <c r="AM980" t="s">
        <v>895</v>
      </c>
      <c r="AN980" t="s">
        <v>1014</v>
      </c>
      <c r="AO980" t="s">
        <v>3929</v>
      </c>
      <c r="AP980" t="s">
        <v>74</v>
      </c>
      <c r="AQ980" t="s">
        <v>74</v>
      </c>
      <c r="AR980" t="s">
        <v>3931</v>
      </c>
      <c r="AS980" t="s">
        <v>3932</v>
      </c>
      <c r="AT980" t="s">
        <v>12734</v>
      </c>
      <c r="AU980">
        <v>2001</v>
      </c>
      <c r="AV980">
        <v>65</v>
      </c>
      <c r="AW980">
        <v>23</v>
      </c>
      <c r="AX980" t="s">
        <v>74</v>
      </c>
      <c r="AY980" t="s">
        <v>74</v>
      </c>
      <c r="AZ980" t="s">
        <v>74</v>
      </c>
      <c r="BA980" t="s">
        <v>74</v>
      </c>
      <c r="BB980">
        <v>4303</v>
      </c>
      <c r="BC980">
        <v>4319</v>
      </c>
      <c r="BD980" t="s">
        <v>74</v>
      </c>
      <c r="BE980" t="s">
        <v>13182</v>
      </c>
      <c r="BF980" t="str">
        <f>HYPERLINK("http://dx.doi.org/10.1016/S0016-7037(01)00713-X","http://dx.doi.org/10.1016/S0016-7037(01)00713-X")</f>
        <v>http://dx.doi.org/10.1016/S0016-7037(01)00713-X</v>
      </c>
      <c r="BG980" t="s">
        <v>74</v>
      </c>
      <c r="BH980" t="s">
        <v>74</v>
      </c>
      <c r="BI980">
        <v>17</v>
      </c>
      <c r="BJ980" t="s">
        <v>556</v>
      </c>
      <c r="BK980" t="s">
        <v>170</v>
      </c>
      <c r="BL980" t="s">
        <v>556</v>
      </c>
      <c r="BM980" t="s">
        <v>13183</v>
      </c>
      <c r="BN980" t="s">
        <v>74</v>
      </c>
      <c r="BO980" t="s">
        <v>74</v>
      </c>
      <c r="BP980" t="s">
        <v>74</v>
      </c>
      <c r="BQ980" t="s">
        <v>74</v>
      </c>
      <c r="BR980" t="s">
        <v>107</v>
      </c>
      <c r="BS980" t="s">
        <v>13184</v>
      </c>
      <c r="BT980" t="str">
        <f>HYPERLINK("https%3A%2F%2Fwww.webofscience.com%2Fwos%2Fwoscc%2Ffull-record%2FWOS:000172667300005","View Full Record in Web of Science")</f>
        <v>View Full Record in Web of Science</v>
      </c>
    </row>
    <row r="981" spans="1:72" x14ac:dyDescent="0.15">
      <c r="A981" t="s">
        <v>72</v>
      </c>
      <c r="B981" t="s">
        <v>13185</v>
      </c>
      <c r="C981" t="s">
        <v>74</v>
      </c>
      <c r="D981" t="s">
        <v>74</v>
      </c>
      <c r="E981" t="s">
        <v>74</v>
      </c>
      <c r="F981" t="s">
        <v>13185</v>
      </c>
      <c r="G981" t="s">
        <v>74</v>
      </c>
      <c r="H981" t="s">
        <v>74</v>
      </c>
      <c r="I981" t="s">
        <v>13186</v>
      </c>
      <c r="J981" t="s">
        <v>3920</v>
      </c>
      <c r="K981" t="s">
        <v>74</v>
      </c>
      <c r="L981" t="s">
        <v>74</v>
      </c>
      <c r="M981" t="s">
        <v>77</v>
      </c>
      <c r="N981" t="s">
        <v>153</v>
      </c>
      <c r="O981" t="s">
        <v>74</v>
      </c>
      <c r="P981" t="s">
        <v>74</v>
      </c>
      <c r="Q981" t="s">
        <v>74</v>
      </c>
      <c r="R981" t="s">
        <v>74</v>
      </c>
      <c r="S981" t="s">
        <v>74</v>
      </c>
      <c r="T981" t="s">
        <v>74</v>
      </c>
      <c r="U981" t="s">
        <v>13187</v>
      </c>
      <c r="V981" t="s">
        <v>13188</v>
      </c>
      <c r="W981" t="s">
        <v>13189</v>
      </c>
      <c r="X981" t="s">
        <v>13190</v>
      </c>
      <c r="Y981" t="s">
        <v>13191</v>
      </c>
      <c r="Z981" t="s">
        <v>74</v>
      </c>
      <c r="AA981" t="s">
        <v>13192</v>
      </c>
      <c r="AB981" t="s">
        <v>13193</v>
      </c>
      <c r="AC981" t="s">
        <v>74</v>
      </c>
      <c r="AD981" t="s">
        <v>74</v>
      </c>
      <c r="AE981" t="s">
        <v>74</v>
      </c>
      <c r="AF981" t="s">
        <v>74</v>
      </c>
      <c r="AG981">
        <v>61</v>
      </c>
      <c r="AH981">
        <v>51</v>
      </c>
      <c r="AI981">
        <v>53</v>
      </c>
      <c r="AJ981">
        <v>0</v>
      </c>
      <c r="AK981">
        <v>11</v>
      </c>
      <c r="AL981" t="s">
        <v>1013</v>
      </c>
      <c r="AM981" t="s">
        <v>895</v>
      </c>
      <c r="AN981" t="s">
        <v>1014</v>
      </c>
      <c r="AO981" t="s">
        <v>3929</v>
      </c>
      <c r="AP981" t="s">
        <v>74</v>
      </c>
      <c r="AQ981" t="s">
        <v>74</v>
      </c>
      <c r="AR981" t="s">
        <v>3931</v>
      </c>
      <c r="AS981" t="s">
        <v>3932</v>
      </c>
      <c r="AT981" t="s">
        <v>12734</v>
      </c>
      <c r="AU981">
        <v>2001</v>
      </c>
      <c r="AV981">
        <v>65</v>
      </c>
      <c r="AW981">
        <v>23</v>
      </c>
      <c r="AX981" t="s">
        <v>74</v>
      </c>
      <c r="AY981" t="s">
        <v>74</v>
      </c>
      <c r="AZ981" t="s">
        <v>74</v>
      </c>
      <c r="BA981" t="s">
        <v>74</v>
      </c>
      <c r="BB981">
        <v>4385</v>
      </c>
      <c r="BC981">
        <v>4397</v>
      </c>
      <c r="BD981" t="s">
        <v>74</v>
      </c>
      <c r="BE981" t="s">
        <v>13194</v>
      </c>
      <c r="BF981" t="str">
        <f>HYPERLINK("http://dx.doi.org/10.1016/S0016-7037(01)00722-0","http://dx.doi.org/10.1016/S0016-7037(01)00722-0")</f>
        <v>http://dx.doi.org/10.1016/S0016-7037(01)00722-0</v>
      </c>
      <c r="BG981" t="s">
        <v>74</v>
      </c>
      <c r="BH981" t="s">
        <v>74</v>
      </c>
      <c r="BI981">
        <v>13</v>
      </c>
      <c r="BJ981" t="s">
        <v>556</v>
      </c>
      <c r="BK981" t="s">
        <v>170</v>
      </c>
      <c r="BL981" t="s">
        <v>556</v>
      </c>
      <c r="BM981" t="s">
        <v>13183</v>
      </c>
      <c r="BN981" t="s">
        <v>74</v>
      </c>
      <c r="BO981" t="s">
        <v>74</v>
      </c>
      <c r="BP981" t="s">
        <v>74</v>
      </c>
      <c r="BQ981" t="s">
        <v>74</v>
      </c>
      <c r="BR981" t="s">
        <v>107</v>
      </c>
      <c r="BS981" t="s">
        <v>13195</v>
      </c>
      <c r="BT981" t="str">
        <f>HYPERLINK("https%3A%2F%2Fwww.webofscience.com%2Fwos%2Fwoscc%2Ffull-record%2FWOS:000172667300010","View Full Record in Web of Science")</f>
        <v>View Full Record in Web of Science</v>
      </c>
    </row>
    <row r="982" spans="1:72" x14ac:dyDescent="0.15">
      <c r="A982" t="s">
        <v>72</v>
      </c>
      <c r="B982" t="s">
        <v>13196</v>
      </c>
      <c r="C982" t="s">
        <v>74</v>
      </c>
      <c r="D982" t="s">
        <v>74</v>
      </c>
      <c r="E982" t="s">
        <v>74</v>
      </c>
      <c r="F982" t="s">
        <v>13196</v>
      </c>
      <c r="G982" t="s">
        <v>74</v>
      </c>
      <c r="H982" t="s">
        <v>74</v>
      </c>
      <c r="I982" t="s">
        <v>13197</v>
      </c>
      <c r="J982" t="s">
        <v>594</v>
      </c>
      <c r="K982" t="s">
        <v>74</v>
      </c>
      <c r="L982" t="s">
        <v>74</v>
      </c>
      <c r="M982" t="s">
        <v>77</v>
      </c>
      <c r="N982" t="s">
        <v>153</v>
      </c>
      <c r="O982" t="s">
        <v>74</v>
      </c>
      <c r="P982" t="s">
        <v>74</v>
      </c>
      <c r="Q982" t="s">
        <v>74</v>
      </c>
      <c r="R982" t="s">
        <v>74</v>
      </c>
      <c r="S982" t="s">
        <v>74</v>
      </c>
      <c r="T982" t="s">
        <v>74</v>
      </c>
      <c r="U982" t="s">
        <v>13198</v>
      </c>
      <c r="V982" t="s">
        <v>13199</v>
      </c>
      <c r="W982" t="s">
        <v>13200</v>
      </c>
      <c r="X982" t="s">
        <v>6020</v>
      </c>
      <c r="Y982" t="s">
        <v>13201</v>
      </c>
      <c r="Z982" t="s">
        <v>13202</v>
      </c>
      <c r="AA982" t="s">
        <v>13203</v>
      </c>
      <c r="AB982" t="s">
        <v>13204</v>
      </c>
      <c r="AC982" t="s">
        <v>74</v>
      </c>
      <c r="AD982" t="s">
        <v>74</v>
      </c>
      <c r="AE982" t="s">
        <v>74</v>
      </c>
      <c r="AF982" t="s">
        <v>74</v>
      </c>
      <c r="AG982">
        <v>19</v>
      </c>
      <c r="AH982">
        <v>76</v>
      </c>
      <c r="AI982">
        <v>86</v>
      </c>
      <c r="AJ982">
        <v>0</v>
      </c>
      <c r="AK982">
        <v>13</v>
      </c>
      <c r="AL982" t="s">
        <v>161</v>
      </c>
      <c r="AM982" t="s">
        <v>162</v>
      </c>
      <c r="AN982" t="s">
        <v>163</v>
      </c>
      <c r="AO982" t="s">
        <v>602</v>
      </c>
      <c r="AP982" t="s">
        <v>603</v>
      </c>
      <c r="AQ982" t="s">
        <v>74</v>
      </c>
      <c r="AR982" t="s">
        <v>604</v>
      </c>
      <c r="AS982" t="s">
        <v>605</v>
      </c>
      <c r="AT982" t="s">
        <v>13205</v>
      </c>
      <c r="AU982">
        <v>2001</v>
      </c>
      <c r="AV982">
        <v>28</v>
      </c>
      <c r="AW982">
        <v>23</v>
      </c>
      <c r="AX982" t="s">
        <v>74</v>
      </c>
      <c r="AY982" t="s">
        <v>74</v>
      </c>
      <c r="AZ982" t="s">
        <v>74</v>
      </c>
      <c r="BA982" t="s">
        <v>74</v>
      </c>
      <c r="BB982">
        <v>4395</v>
      </c>
      <c r="BC982">
        <v>4398</v>
      </c>
      <c r="BD982" t="s">
        <v>74</v>
      </c>
      <c r="BE982" t="s">
        <v>13206</v>
      </c>
      <c r="BF982" t="str">
        <f>HYPERLINK("http://dx.doi.org/10.1029/2001GL013431","http://dx.doi.org/10.1029/2001GL013431")</f>
        <v>http://dx.doi.org/10.1029/2001GL013431</v>
      </c>
      <c r="BG982" t="s">
        <v>74</v>
      </c>
      <c r="BH982" t="s">
        <v>74</v>
      </c>
      <c r="BI982">
        <v>4</v>
      </c>
      <c r="BJ982" t="s">
        <v>608</v>
      </c>
      <c r="BK982" t="s">
        <v>170</v>
      </c>
      <c r="BL982" t="s">
        <v>439</v>
      </c>
      <c r="BM982" t="s">
        <v>13207</v>
      </c>
      <c r="BN982" t="s">
        <v>74</v>
      </c>
      <c r="BO982" t="s">
        <v>74</v>
      </c>
      <c r="BP982" t="s">
        <v>74</v>
      </c>
      <c r="BQ982" t="s">
        <v>74</v>
      </c>
      <c r="BR982" t="s">
        <v>107</v>
      </c>
      <c r="BS982" t="s">
        <v>13208</v>
      </c>
      <c r="BT982" t="str">
        <f>HYPERLINK("https%3A%2F%2Fwww.webofscience.com%2Fwos%2Fwoscc%2Ffull-record%2FWOS:000172425700014","View Full Record in Web of Science")</f>
        <v>View Full Record in Web of Science</v>
      </c>
    </row>
    <row r="983" spans="1:72" x14ac:dyDescent="0.15">
      <c r="A983" t="s">
        <v>72</v>
      </c>
      <c r="B983" t="s">
        <v>13209</v>
      </c>
      <c r="C983" t="s">
        <v>74</v>
      </c>
      <c r="D983" t="s">
        <v>74</v>
      </c>
      <c r="E983" t="s">
        <v>74</v>
      </c>
      <c r="F983" t="s">
        <v>13209</v>
      </c>
      <c r="G983" t="s">
        <v>74</v>
      </c>
      <c r="H983" t="s">
        <v>74</v>
      </c>
      <c r="I983" t="s">
        <v>13210</v>
      </c>
      <c r="J983" t="s">
        <v>13211</v>
      </c>
      <c r="K983" t="s">
        <v>74</v>
      </c>
      <c r="L983" t="s">
        <v>74</v>
      </c>
      <c r="M983" t="s">
        <v>77</v>
      </c>
      <c r="N983" t="s">
        <v>78</v>
      </c>
      <c r="O983" t="s">
        <v>13212</v>
      </c>
      <c r="P983" t="s">
        <v>13213</v>
      </c>
      <c r="Q983" t="s">
        <v>13214</v>
      </c>
      <c r="R983" t="s">
        <v>74</v>
      </c>
      <c r="S983" t="s">
        <v>74</v>
      </c>
      <c r="T983" t="s">
        <v>74</v>
      </c>
      <c r="U983" t="s">
        <v>13215</v>
      </c>
      <c r="V983" t="s">
        <v>13216</v>
      </c>
      <c r="W983" t="s">
        <v>13217</v>
      </c>
      <c r="X983" t="s">
        <v>13218</v>
      </c>
      <c r="Y983" t="s">
        <v>13219</v>
      </c>
      <c r="Z983" t="s">
        <v>74</v>
      </c>
      <c r="AA983" t="s">
        <v>74</v>
      </c>
      <c r="AB983" t="s">
        <v>74</v>
      </c>
      <c r="AC983" t="s">
        <v>74</v>
      </c>
      <c r="AD983" t="s">
        <v>74</v>
      </c>
      <c r="AE983" t="s">
        <v>74</v>
      </c>
      <c r="AF983" t="s">
        <v>74</v>
      </c>
      <c r="AG983">
        <v>43</v>
      </c>
      <c r="AH983">
        <v>1</v>
      </c>
      <c r="AI983">
        <v>5</v>
      </c>
      <c r="AJ983">
        <v>0</v>
      </c>
      <c r="AK983">
        <v>5</v>
      </c>
      <c r="AL983" t="s">
        <v>13220</v>
      </c>
      <c r="AM983" t="s">
        <v>13221</v>
      </c>
      <c r="AN983" t="s">
        <v>13222</v>
      </c>
      <c r="AO983" t="s">
        <v>13223</v>
      </c>
      <c r="AP983" t="s">
        <v>74</v>
      </c>
      <c r="AQ983" t="s">
        <v>74</v>
      </c>
      <c r="AR983" t="s">
        <v>13224</v>
      </c>
      <c r="AS983" t="s">
        <v>13225</v>
      </c>
      <c r="AT983" t="s">
        <v>12734</v>
      </c>
      <c r="AU983">
        <v>2001</v>
      </c>
      <c r="AV983">
        <v>28</v>
      </c>
      <c r="AW983">
        <v>4</v>
      </c>
      <c r="AX983" t="s">
        <v>74</v>
      </c>
      <c r="AY983" t="s">
        <v>74</v>
      </c>
      <c r="AZ983" t="s">
        <v>74</v>
      </c>
      <c r="BA983" t="s">
        <v>74</v>
      </c>
      <c r="BB983">
        <v>203</v>
      </c>
      <c r="BC983">
        <v>210</v>
      </c>
      <c r="BD983" t="s">
        <v>74</v>
      </c>
      <c r="BE983" t="s">
        <v>74</v>
      </c>
      <c r="BF983" t="s">
        <v>74</v>
      </c>
      <c r="BG983" t="s">
        <v>74</v>
      </c>
      <c r="BH983" t="s">
        <v>74</v>
      </c>
      <c r="BI983">
        <v>8</v>
      </c>
      <c r="BJ983" t="s">
        <v>608</v>
      </c>
      <c r="BK983" t="s">
        <v>744</v>
      </c>
      <c r="BL983" t="s">
        <v>439</v>
      </c>
      <c r="BM983" t="s">
        <v>13226</v>
      </c>
      <c r="BN983" t="s">
        <v>74</v>
      </c>
      <c r="BO983" t="s">
        <v>74</v>
      </c>
      <c r="BP983" t="s">
        <v>74</v>
      </c>
      <c r="BQ983" t="s">
        <v>74</v>
      </c>
      <c r="BR983" t="s">
        <v>107</v>
      </c>
      <c r="BS983" t="s">
        <v>13227</v>
      </c>
      <c r="BT983" t="str">
        <f>HYPERLINK("https%3A%2F%2Fwww.webofscience.com%2Fwos%2Fwoscc%2Ffull-record%2FWOS:000173629000008","View Full Record in Web of Science")</f>
        <v>View Full Record in Web of Science</v>
      </c>
    </row>
    <row r="984" spans="1:72" x14ac:dyDescent="0.15">
      <c r="A984" t="s">
        <v>72</v>
      </c>
      <c r="B984" t="s">
        <v>13228</v>
      </c>
      <c r="C984" t="s">
        <v>74</v>
      </c>
      <c r="D984" t="s">
        <v>74</v>
      </c>
      <c r="E984" t="s">
        <v>74</v>
      </c>
      <c r="F984" t="s">
        <v>13228</v>
      </c>
      <c r="G984" t="s">
        <v>74</v>
      </c>
      <c r="H984" t="s">
        <v>74</v>
      </c>
      <c r="I984" t="s">
        <v>13229</v>
      </c>
      <c r="J984" t="s">
        <v>6421</v>
      </c>
      <c r="K984" t="s">
        <v>74</v>
      </c>
      <c r="L984" t="s">
        <v>74</v>
      </c>
      <c r="M984" t="s">
        <v>77</v>
      </c>
      <c r="N984" t="s">
        <v>153</v>
      </c>
      <c r="O984" t="s">
        <v>74</v>
      </c>
      <c r="P984" t="s">
        <v>74</v>
      </c>
      <c r="Q984" t="s">
        <v>74</v>
      </c>
      <c r="R984" t="s">
        <v>74</v>
      </c>
      <c r="S984" t="s">
        <v>74</v>
      </c>
      <c r="T984" t="s">
        <v>13230</v>
      </c>
      <c r="U984" t="s">
        <v>13231</v>
      </c>
      <c r="V984" t="s">
        <v>13232</v>
      </c>
      <c r="W984" t="s">
        <v>13233</v>
      </c>
      <c r="X984" t="s">
        <v>10580</v>
      </c>
      <c r="Y984" t="s">
        <v>13234</v>
      </c>
      <c r="Z984" t="s">
        <v>3213</v>
      </c>
      <c r="AA984" t="s">
        <v>74</v>
      </c>
      <c r="AB984" t="s">
        <v>74</v>
      </c>
      <c r="AC984" t="s">
        <v>74</v>
      </c>
      <c r="AD984" t="s">
        <v>74</v>
      </c>
      <c r="AE984" t="s">
        <v>74</v>
      </c>
      <c r="AF984" t="s">
        <v>74</v>
      </c>
      <c r="AG984">
        <v>31</v>
      </c>
      <c r="AH984">
        <v>31</v>
      </c>
      <c r="AI984">
        <v>33</v>
      </c>
      <c r="AJ984">
        <v>0</v>
      </c>
      <c r="AK984">
        <v>8</v>
      </c>
      <c r="AL984" t="s">
        <v>194</v>
      </c>
      <c r="AM984" t="s">
        <v>1251</v>
      </c>
      <c r="AN984" t="s">
        <v>1252</v>
      </c>
      <c r="AO984" t="s">
        <v>6428</v>
      </c>
      <c r="AP984" t="s">
        <v>13235</v>
      </c>
      <c r="AQ984" t="s">
        <v>74</v>
      </c>
      <c r="AR984" t="s">
        <v>6421</v>
      </c>
      <c r="AS984" t="s">
        <v>6429</v>
      </c>
      <c r="AT984" t="s">
        <v>12734</v>
      </c>
      <c r="AU984">
        <v>2001</v>
      </c>
      <c r="AV984">
        <v>465</v>
      </c>
      <c r="AW984" t="s">
        <v>3240</v>
      </c>
      <c r="AX984" t="s">
        <v>74</v>
      </c>
      <c r="AY984" t="s">
        <v>74</v>
      </c>
      <c r="AZ984" t="s">
        <v>74</v>
      </c>
      <c r="BA984" t="s">
        <v>74</v>
      </c>
      <c r="BB984">
        <v>95</v>
      </c>
      <c r="BC984">
        <v>102</v>
      </c>
      <c r="BD984" t="s">
        <v>74</v>
      </c>
      <c r="BE984" t="s">
        <v>13236</v>
      </c>
      <c r="BF984" t="str">
        <f>HYPERLINK("http://dx.doi.org/10.1023/A:1014568103867","http://dx.doi.org/10.1023/A:1014568103867")</f>
        <v>http://dx.doi.org/10.1023/A:1014568103867</v>
      </c>
      <c r="BG984" t="s">
        <v>74</v>
      </c>
      <c r="BH984" t="s">
        <v>74</v>
      </c>
      <c r="BI984">
        <v>8</v>
      </c>
      <c r="BJ984" t="s">
        <v>1919</v>
      </c>
      <c r="BK984" t="s">
        <v>170</v>
      </c>
      <c r="BL984" t="s">
        <v>1919</v>
      </c>
      <c r="BM984" t="s">
        <v>13237</v>
      </c>
      <c r="BN984" t="s">
        <v>74</v>
      </c>
      <c r="BO984" t="s">
        <v>74</v>
      </c>
      <c r="BP984" t="s">
        <v>74</v>
      </c>
      <c r="BQ984" t="s">
        <v>74</v>
      </c>
      <c r="BR984" t="s">
        <v>107</v>
      </c>
      <c r="BS984" t="s">
        <v>13238</v>
      </c>
      <c r="BT984" t="str">
        <f>HYPERLINK("https%3A%2F%2Fwww.webofscience.com%2Fwos%2Fwoscc%2Ffull-record%2FWOS:000174354000010","View Full Record in Web of Science")</f>
        <v>View Full Record in Web of Science</v>
      </c>
    </row>
    <row r="985" spans="1:72" x14ac:dyDescent="0.15">
      <c r="A985" t="s">
        <v>72</v>
      </c>
      <c r="B985" t="s">
        <v>13239</v>
      </c>
      <c r="C985" t="s">
        <v>74</v>
      </c>
      <c r="D985" t="s">
        <v>74</v>
      </c>
      <c r="E985" t="s">
        <v>74</v>
      </c>
      <c r="F985" t="s">
        <v>13239</v>
      </c>
      <c r="G985" t="s">
        <v>74</v>
      </c>
      <c r="H985" t="s">
        <v>74</v>
      </c>
      <c r="I985" t="s">
        <v>13240</v>
      </c>
      <c r="J985" t="s">
        <v>465</v>
      </c>
      <c r="K985" t="s">
        <v>74</v>
      </c>
      <c r="L985" t="s">
        <v>74</v>
      </c>
      <c r="M985" t="s">
        <v>77</v>
      </c>
      <c r="N985" t="s">
        <v>947</v>
      </c>
      <c r="O985" t="s">
        <v>74</v>
      </c>
      <c r="P985" t="s">
        <v>74</v>
      </c>
      <c r="Q985" t="s">
        <v>74</v>
      </c>
      <c r="R985" t="s">
        <v>74</v>
      </c>
      <c r="S985" t="s">
        <v>74</v>
      </c>
      <c r="T985" t="s">
        <v>13241</v>
      </c>
      <c r="U985" t="s">
        <v>13242</v>
      </c>
      <c r="V985" t="s">
        <v>13243</v>
      </c>
      <c r="W985" t="s">
        <v>13244</v>
      </c>
      <c r="X985" t="s">
        <v>13245</v>
      </c>
      <c r="Y985" t="s">
        <v>13246</v>
      </c>
      <c r="Z985" t="s">
        <v>74</v>
      </c>
      <c r="AA985" t="s">
        <v>13247</v>
      </c>
      <c r="AB985" t="s">
        <v>13248</v>
      </c>
      <c r="AC985" t="s">
        <v>74</v>
      </c>
      <c r="AD985" t="s">
        <v>74</v>
      </c>
      <c r="AE985" t="s">
        <v>74</v>
      </c>
      <c r="AF985" t="s">
        <v>74</v>
      </c>
      <c r="AG985">
        <v>108</v>
      </c>
      <c r="AH985">
        <v>424</v>
      </c>
      <c r="AI985">
        <v>479</v>
      </c>
      <c r="AJ985">
        <v>4</v>
      </c>
      <c r="AK985">
        <v>145</v>
      </c>
      <c r="AL985" t="s">
        <v>394</v>
      </c>
      <c r="AM985" t="s">
        <v>395</v>
      </c>
      <c r="AN985" t="s">
        <v>396</v>
      </c>
      <c r="AO985" t="s">
        <v>474</v>
      </c>
      <c r="AP985" t="s">
        <v>13249</v>
      </c>
      <c r="AQ985" t="s">
        <v>74</v>
      </c>
      <c r="AR985" t="s">
        <v>475</v>
      </c>
      <c r="AS985" t="s">
        <v>476</v>
      </c>
      <c r="AT985" t="s">
        <v>12734</v>
      </c>
      <c r="AU985">
        <v>2001</v>
      </c>
      <c r="AV985">
        <v>21</v>
      </c>
      <c r="AW985">
        <v>15</v>
      </c>
      <c r="AX985" t="s">
        <v>74</v>
      </c>
      <c r="AY985" t="s">
        <v>74</v>
      </c>
      <c r="AZ985" t="s">
        <v>74</v>
      </c>
      <c r="BA985" t="s">
        <v>74</v>
      </c>
      <c r="BB985">
        <v>1899</v>
      </c>
      <c r="BC985" t="s">
        <v>1835</v>
      </c>
      <c r="BD985" t="s">
        <v>74</v>
      </c>
      <c r="BE985" t="s">
        <v>13250</v>
      </c>
      <c r="BF985" t="str">
        <f>HYPERLINK("http://dx.doi.org/10.1002/joc.680.abs","http://dx.doi.org/10.1002/joc.680.abs")</f>
        <v>http://dx.doi.org/10.1002/joc.680.abs</v>
      </c>
      <c r="BG985" t="s">
        <v>74</v>
      </c>
      <c r="BH985" t="s">
        <v>74</v>
      </c>
      <c r="BI985">
        <v>27</v>
      </c>
      <c r="BJ985" t="s">
        <v>403</v>
      </c>
      <c r="BK985" t="s">
        <v>170</v>
      </c>
      <c r="BL985" t="s">
        <v>403</v>
      </c>
      <c r="BM985" t="s">
        <v>13251</v>
      </c>
      <c r="BN985" t="s">
        <v>74</v>
      </c>
      <c r="BO985" t="s">
        <v>74</v>
      </c>
      <c r="BP985" t="s">
        <v>74</v>
      </c>
      <c r="BQ985" t="s">
        <v>74</v>
      </c>
      <c r="BR985" t="s">
        <v>107</v>
      </c>
      <c r="BS985" t="s">
        <v>13252</v>
      </c>
      <c r="BT985" t="str">
        <f>HYPERLINK("https%3A%2F%2Fwww.webofscience.com%2Fwos%2Fwoscc%2Ffull-record%2FWOS:000173841900004","View Full Record in Web of Science")</f>
        <v>View Full Record in Web of Science</v>
      </c>
    </row>
    <row r="986" spans="1:72" x14ac:dyDescent="0.15">
      <c r="A986" t="s">
        <v>72</v>
      </c>
      <c r="B986" t="s">
        <v>13253</v>
      </c>
      <c r="C986" t="s">
        <v>74</v>
      </c>
      <c r="D986" t="s">
        <v>74</v>
      </c>
      <c r="E986" t="s">
        <v>74</v>
      </c>
      <c r="F986" t="s">
        <v>13253</v>
      </c>
      <c r="G986" t="s">
        <v>74</v>
      </c>
      <c r="H986" t="s">
        <v>74</v>
      </c>
      <c r="I986" t="s">
        <v>13254</v>
      </c>
      <c r="J986" t="s">
        <v>6475</v>
      </c>
      <c r="K986" t="s">
        <v>74</v>
      </c>
      <c r="L986" t="s">
        <v>74</v>
      </c>
      <c r="M986" t="s">
        <v>77</v>
      </c>
      <c r="N986" t="s">
        <v>153</v>
      </c>
      <c r="O986" t="s">
        <v>74</v>
      </c>
      <c r="P986" t="s">
        <v>74</v>
      </c>
      <c r="Q986" t="s">
        <v>74</v>
      </c>
      <c r="R986" t="s">
        <v>74</v>
      </c>
      <c r="S986" t="s">
        <v>74</v>
      </c>
      <c r="T986" t="s">
        <v>13255</v>
      </c>
      <c r="U986" t="s">
        <v>13256</v>
      </c>
      <c r="V986" t="s">
        <v>13257</v>
      </c>
      <c r="W986" t="s">
        <v>13258</v>
      </c>
      <c r="X986" t="s">
        <v>13259</v>
      </c>
      <c r="Y986" t="s">
        <v>13260</v>
      </c>
      <c r="Z986" t="s">
        <v>74</v>
      </c>
      <c r="AA986" t="s">
        <v>13261</v>
      </c>
      <c r="AB986" t="s">
        <v>10743</v>
      </c>
      <c r="AC986" t="s">
        <v>74</v>
      </c>
      <c r="AD986" t="s">
        <v>74</v>
      </c>
      <c r="AE986" t="s">
        <v>74</v>
      </c>
      <c r="AF986" t="s">
        <v>74</v>
      </c>
      <c r="AG986">
        <v>33</v>
      </c>
      <c r="AH986">
        <v>142</v>
      </c>
      <c r="AI986">
        <v>158</v>
      </c>
      <c r="AJ986">
        <v>1</v>
      </c>
      <c r="AK986">
        <v>47</v>
      </c>
      <c r="AL986" t="s">
        <v>2455</v>
      </c>
      <c r="AM986" t="s">
        <v>895</v>
      </c>
      <c r="AN986" t="s">
        <v>2456</v>
      </c>
      <c r="AO986" t="s">
        <v>6481</v>
      </c>
      <c r="AP986" t="s">
        <v>74</v>
      </c>
      <c r="AQ986" t="s">
        <v>74</v>
      </c>
      <c r="AR986" t="s">
        <v>6482</v>
      </c>
      <c r="AS986" t="s">
        <v>6483</v>
      </c>
      <c r="AT986" t="s">
        <v>12734</v>
      </c>
      <c r="AU986">
        <v>2001</v>
      </c>
      <c r="AV986">
        <v>38</v>
      </c>
      <c r="AW986">
        <v>6</v>
      </c>
      <c r="AX986" t="s">
        <v>74</v>
      </c>
      <c r="AY986" t="s">
        <v>74</v>
      </c>
      <c r="AZ986" t="s">
        <v>74</v>
      </c>
      <c r="BA986" t="s">
        <v>74</v>
      </c>
      <c r="BB986">
        <v>1182</v>
      </c>
      <c r="BC986">
        <v>1196</v>
      </c>
      <c r="BD986" t="s">
        <v>74</v>
      </c>
      <c r="BE986" t="s">
        <v>13262</v>
      </c>
      <c r="BF986" t="str">
        <f>HYPERLINK("http://dx.doi.org/10.1046/j.0021-8901.2001.00661.x","http://dx.doi.org/10.1046/j.0021-8901.2001.00661.x")</f>
        <v>http://dx.doi.org/10.1046/j.0021-8901.2001.00661.x</v>
      </c>
      <c r="BG986" t="s">
        <v>74</v>
      </c>
      <c r="BH986" t="s">
        <v>74</v>
      </c>
      <c r="BI986">
        <v>15</v>
      </c>
      <c r="BJ986" t="s">
        <v>277</v>
      </c>
      <c r="BK986" t="s">
        <v>170</v>
      </c>
      <c r="BL986" t="s">
        <v>278</v>
      </c>
      <c r="BM986" t="s">
        <v>13263</v>
      </c>
      <c r="BN986" t="s">
        <v>74</v>
      </c>
      <c r="BO986" t="s">
        <v>173</v>
      </c>
      <c r="BP986" t="s">
        <v>74</v>
      </c>
      <c r="BQ986" t="s">
        <v>74</v>
      </c>
      <c r="BR986" t="s">
        <v>107</v>
      </c>
      <c r="BS986" t="s">
        <v>13264</v>
      </c>
      <c r="BT986" t="str">
        <f>HYPERLINK("https%3A%2F%2Fwww.webofscience.com%2Fwos%2Fwoscc%2Ffull-record%2FWOS:000173050100003","View Full Record in Web of Science")</f>
        <v>View Full Record in Web of Science</v>
      </c>
    </row>
    <row r="987" spans="1:72" x14ac:dyDescent="0.15">
      <c r="A987" t="s">
        <v>72</v>
      </c>
      <c r="B987" t="s">
        <v>13265</v>
      </c>
      <c r="C987" t="s">
        <v>74</v>
      </c>
      <c r="D987" t="s">
        <v>74</v>
      </c>
      <c r="E987" t="s">
        <v>74</v>
      </c>
      <c r="F987" t="s">
        <v>13265</v>
      </c>
      <c r="G987" t="s">
        <v>74</v>
      </c>
      <c r="H987" t="s">
        <v>74</v>
      </c>
      <c r="I987" t="s">
        <v>13266</v>
      </c>
      <c r="J987" t="s">
        <v>13267</v>
      </c>
      <c r="K987" t="s">
        <v>74</v>
      </c>
      <c r="L987" t="s">
        <v>74</v>
      </c>
      <c r="M987" t="s">
        <v>77</v>
      </c>
      <c r="N987" t="s">
        <v>153</v>
      </c>
      <c r="O987" t="s">
        <v>74</v>
      </c>
      <c r="P987" t="s">
        <v>74</v>
      </c>
      <c r="Q987" t="s">
        <v>74</v>
      </c>
      <c r="R987" t="s">
        <v>74</v>
      </c>
      <c r="S987" t="s">
        <v>74</v>
      </c>
      <c r="T987" t="s">
        <v>74</v>
      </c>
      <c r="U987" t="s">
        <v>13268</v>
      </c>
      <c r="V987" t="s">
        <v>13269</v>
      </c>
      <c r="W987" t="s">
        <v>13270</v>
      </c>
      <c r="X987" t="s">
        <v>1758</v>
      </c>
      <c r="Y987" t="s">
        <v>13271</v>
      </c>
      <c r="Z987" t="s">
        <v>13272</v>
      </c>
      <c r="AA987" t="s">
        <v>13273</v>
      </c>
      <c r="AB987" t="s">
        <v>13274</v>
      </c>
      <c r="AC987" t="s">
        <v>74</v>
      </c>
      <c r="AD987" t="s">
        <v>74</v>
      </c>
      <c r="AE987" t="s">
        <v>74</v>
      </c>
      <c r="AF987" t="s">
        <v>74</v>
      </c>
      <c r="AG987">
        <v>41</v>
      </c>
      <c r="AH987">
        <v>47</v>
      </c>
      <c r="AI987">
        <v>48</v>
      </c>
      <c r="AJ987">
        <v>1</v>
      </c>
      <c r="AK987">
        <v>18</v>
      </c>
      <c r="AL987" t="s">
        <v>394</v>
      </c>
      <c r="AM987" t="s">
        <v>395</v>
      </c>
      <c r="AN987" t="s">
        <v>396</v>
      </c>
      <c r="AO987" t="s">
        <v>13275</v>
      </c>
      <c r="AP987" t="s">
        <v>13276</v>
      </c>
      <c r="AQ987" t="s">
        <v>74</v>
      </c>
      <c r="AR987" t="s">
        <v>13277</v>
      </c>
      <c r="AS987" t="s">
        <v>13278</v>
      </c>
      <c r="AT987" t="s">
        <v>12734</v>
      </c>
      <c r="AU987">
        <v>2001</v>
      </c>
      <c r="AV987">
        <v>32</v>
      </c>
      <c r="AW987">
        <v>4</v>
      </c>
      <c r="AX987" t="s">
        <v>74</v>
      </c>
      <c r="AY987" t="s">
        <v>74</v>
      </c>
      <c r="AZ987" t="s">
        <v>74</v>
      </c>
      <c r="BA987" t="s">
        <v>74</v>
      </c>
      <c r="BB987">
        <v>297</v>
      </c>
      <c r="BC987">
        <v>302</v>
      </c>
      <c r="BD987" t="s">
        <v>74</v>
      </c>
      <c r="BE987" t="s">
        <v>13279</v>
      </c>
      <c r="BF987" t="str">
        <f>HYPERLINK("http://dx.doi.org/10.1111/j.0908-8857.2001.320402.x","http://dx.doi.org/10.1111/j.0908-8857.2001.320402.x")</f>
        <v>http://dx.doi.org/10.1111/j.0908-8857.2001.320402.x</v>
      </c>
      <c r="BG987" t="s">
        <v>74</v>
      </c>
      <c r="BH987" t="s">
        <v>74</v>
      </c>
      <c r="BI987">
        <v>6</v>
      </c>
      <c r="BJ987" t="s">
        <v>4072</v>
      </c>
      <c r="BK987" t="s">
        <v>170</v>
      </c>
      <c r="BL987" t="s">
        <v>1001</v>
      </c>
      <c r="BM987" t="s">
        <v>13280</v>
      </c>
      <c r="BN987" t="s">
        <v>74</v>
      </c>
      <c r="BO987" t="s">
        <v>74</v>
      </c>
      <c r="BP987" t="s">
        <v>74</v>
      </c>
      <c r="BQ987" t="s">
        <v>74</v>
      </c>
      <c r="BR987" t="s">
        <v>107</v>
      </c>
      <c r="BS987" t="s">
        <v>13281</v>
      </c>
      <c r="BT987" t="str">
        <f>HYPERLINK("https%3A%2F%2Fwww.webofscience.com%2Fwos%2Fwoscc%2Ffull-record%2FWOS:000173591800002","View Full Record in Web of Science")</f>
        <v>View Full Record in Web of Science</v>
      </c>
    </row>
    <row r="988" spans="1:72" x14ac:dyDescent="0.15">
      <c r="A988" t="s">
        <v>72</v>
      </c>
      <c r="B988" t="s">
        <v>13282</v>
      </c>
      <c r="C988" t="s">
        <v>74</v>
      </c>
      <c r="D988" t="s">
        <v>74</v>
      </c>
      <c r="E988" t="s">
        <v>74</v>
      </c>
      <c r="F988" t="s">
        <v>13282</v>
      </c>
      <c r="G988" t="s">
        <v>74</v>
      </c>
      <c r="H988" t="s">
        <v>74</v>
      </c>
      <c r="I988" t="s">
        <v>13283</v>
      </c>
      <c r="J988" t="s">
        <v>4705</v>
      </c>
      <c r="K988" t="s">
        <v>74</v>
      </c>
      <c r="L988" t="s">
        <v>74</v>
      </c>
      <c r="M988" t="s">
        <v>77</v>
      </c>
      <c r="N988" t="s">
        <v>153</v>
      </c>
      <c r="O988" t="s">
        <v>74</v>
      </c>
      <c r="P988" t="s">
        <v>74</v>
      </c>
      <c r="Q988" t="s">
        <v>74</v>
      </c>
      <c r="R988" t="s">
        <v>74</v>
      </c>
      <c r="S988" t="s">
        <v>74</v>
      </c>
      <c r="T988" t="s">
        <v>74</v>
      </c>
      <c r="U988" t="s">
        <v>13284</v>
      </c>
      <c r="V988" t="s">
        <v>13285</v>
      </c>
      <c r="W988" t="s">
        <v>13286</v>
      </c>
      <c r="X988" t="s">
        <v>13287</v>
      </c>
      <c r="Y988" t="s">
        <v>13288</v>
      </c>
      <c r="Z988" t="s">
        <v>74</v>
      </c>
      <c r="AA988" t="s">
        <v>74</v>
      </c>
      <c r="AB988" t="s">
        <v>13289</v>
      </c>
      <c r="AC988" t="s">
        <v>74</v>
      </c>
      <c r="AD988" t="s">
        <v>74</v>
      </c>
      <c r="AE988" t="s">
        <v>74</v>
      </c>
      <c r="AF988" t="s">
        <v>74</v>
      </c>
      <c r="AG988">
        <v>34</v>
      </c>
      <c r="AH988">
        <v>16</v>
      </c>
      <c r="AI988">
        <v>16</v>
      </c>
      <c r="AJ988">
        <v>0</v>
      </c>
      <c r="AK988">
        <v>7</v>
      </c>
      <c r="AL988" t="s">
        <v>4713</v>
      </c>
      <c r="AM988" t="s">
        <v>4714</v>
      </c>
      <c r="AN988" t="s">
        <v>4715</v>
      </c>
      <c r="AO988" t="s">
        <v>4716</v>
      </c>
      <c r="AP988" t="s">
        <v>74</v>
      </c>
      <c r="AQ988" t="s">
        <v>74</v>
      </c>
      <c r="AR988" t="s">
        <v>4717</v>
      </c>
      <c r="AS988" t="s">
        <v>4718</v>
      </c>
      <c r="AT988" t="s">
        <v>13205</v>
      </c>
      <c r="AU988">
        <v>2001</v>
      </c>
      <c r="AV988">
        <v>115</v>
      </c>
      <c r="AW988">
        <v>21</v>
      </c>
      <c r="AX988" t="s">
        <v>74</v>
      </c>
      <c r="AY988" t="s">
        <v>74</v>
      </c>
      <c r="AZ988" t="s">
        <v>74</v>
      </c>
      <c r="BA988" t="s">
        <v>74</v>
      </c>
      <c r="BB988">
        <v>9843</v>
      </c>
      <c r="BC988">
        <v>9847</v>
      </c>
      <c r="BD988" t="s">
        <v>74</v>
      </c>
      <c r="BE988" t="s">
        <v>13290</v>
      </c>
      <c r="BF988" t="str">
        <f>HYPERLINK("http://dx.doi.org/10.1063/1.1414316","http://dx.doi.org/10.1063/1.1414316")</f>
        <v>http://dx.doi.org/10.1063/1.1414316</v>
      </c>
      <c r="BG988" t="s">
        <v>74</v>
      </c>
      <c r="BH988" t="s">
        <v>74</v>
      </c>
      <c r="BI988">
        <v>5</v>
      </c>
      <c r="BJ988" t="s">
        <v>588</v>
      </c>
      <c r="BK988" t="s">
        <v>170</v>
      </c>
      <c r="BL988" t="s">
        <v>589</v>
      </c>
      <c r="BM988" t="s">
        <v>13291</v>
      </c>
      <c r="BN988" t="s">
        <v>74</v>
      </c>
      <c r="BO988" t="s">
        <v>74</v>
      </c>
      <c r="BP988" t="s">
        <v>74</v>
      </c>
      <c r="BQ988" t="s">
        <v>74</v>
      </c>
      <c r="BR988" t="s">
        <v>107</v>
      </c>
      <c r="BS988" t="s">
        <v>13292</v>
      </c>
      <c r="BT988" t="str">
        <f>HYPERLINK("https%3A%2F%2Fwww.webofscience.com%2Fwos%2Fwoscc%2Ffull-record%2FWOS:000172151000026","View Full Record in Web of Science")</f>
        <v>View Full Record in Web of Science</v>
      </c>
    </row>
    <row r="989" spans="1:72" x14ac:dyDescent="0.15">
      <c r="A989" t="s">
        <v>72</v>
      </c>
      <c r="B989" t="s">
        <v>13293</v>
      </c>
      <c r="C989" t="s">
        <v>74</v>
      </c>
      <c r="D989" t="s">
        <v>74</v>
      </c>
      <c r="E989" t="s">
        <v>74</v>
      </c>
      <c r="F989" t="s">
        <v>13293</v>
      </c>
      <c r="G989" t="s">
        <v>74</v>
      </c>
      <c r="H989" t="s">
        <v>74</v>
      </c>
      <c r="I989" t="s">
        <v>13294</v>
      </c>
      <c r="J989" t="s">
        <v>13295</v>
      </c>
      <c r="K989" t="s">
        <v>74</v>
      </c>
      <c r="L989" t="s">
        <v>74</v>
      </c>
      <c r="M989" t="s">
        <v>77</v>
      </c>
      <c r="N989" t="s">
        <v>153</v>
      </c>
      <c r="O989" t="s">
        <v>74</v>
      </c>
      <c r="P989" t="s">
        <v>74</v>
      </c>
      <c r="Q989" t="s">
        <v>74</v>
      </c>
      <c r="R989" t="s">
        <v>74</v>
      </c>
      <c r="S989" t="s">
        <v>74</v>
      </c>
      <c r="T989" t="s">
        <v>74</v>
      </c>
      <c r="U989" t="s">
        <v>13296</v>
      </c>
      <c r="V989" t="s">
        <v>13297</v>
      </c>
      <c r="W989" t="s">
        <v>13298</v>
      </c>
      <c r="X989" t="s">
        <v>13299</v>
      </c>
      <c r="Y989" t="s">
        <v>13300</v>
      </c>
      <c r="Z989" t="s">
        <v>13301</v>
      </c>
      <c r="AA989" t="s">
        <v>74</v>
      </c>
      <c r="AB989" t="s">
        <v>74</v>
      </c>
      <c r="AC989" t="s">
        <v>74</v>
      </c>
      <c r="AD989" t="s">
        <v>74</v>
      </c>
      <c r="AE989" t="s">
        <v>74</v>
      </c>
      <c r="AF989" t="s">
        <v>74</v>
      </c>
      <c r="AG989">
        <v>33</v>
      </c>
      <c r="AH989">
        <v>154</v>
      </c>
      <c r="AI989">
        <v>170</v>
      </c>
      <c r="AJ989">
        <v>0</v>
      </c>
      <c r="AK989">
        <v>14</v>
      </c>
      <c r="AL989" t="s">
        <v>13302</v>
      </c>
      <c r="AM989" t="s">
        <v>13303</v>
      </c>
      <c r="AN989" t="s">
        <v>13304</v>
      </c>
      <c r="AO989" t="s">
        <v>13305</v>
      </c>
      <c r="AP989" t="s">
        <v>13306</v>
      </c>
      <c r="AQ989" t="s">
        <v>74</v>
      </c>
      <c r="AR989" t="s">
        <v>13307</v>
      </c>
      <c r="AS989" t="s">
        <v>13308</v>
      </c>
      <c r="AT989" t="s">
        <v>12734</v>
      </c>
      <c r="AU989">
        <v>2001</v>
      </c>
      <c r="AV989">
        <v>171</v>
      </c>
      <c r="AW989">
        <v>3</v>
      </c>
      <c r="AX989" t="s">
        <v>74</v>
      </c>
      <c r="AY989" t="s">
        <v>74</v>
      </c>
      <c r="AZ989" t="s">
        <v>74</v>
      </c>
      <c r="BA989" t="s">
        <v>74</v>
      </c>
      <c r="BB989">
        <v>557</v>
      </c>
      <c r="BC989">
        <v>564</v>
      </c>
      <c r="BD989" t="s">
        <v>74</v>
      </c>
      <c r="BE989" t="s">
        <v>13309</v>
      </c>
      <c r="BF989" t="str">
        <f>HYPERLINK("http://dx.doi.org/10.1677/joe.0.1710557","http://dx.doi.org/10.1677/joe.0.1710557")</f>
        <v>http://dx.doi.org/10.1677/joe.0.1710557</v>
      </c>
      <c r="BG989" t="s">
        <v>74</v>
      </c>
      <c r="BH989" t="s">
        <v>74</v>
      </c>
      <c r="BI989">
        <v>8</v>
      </c>
      <c r="BJ989" t="s">
        <v>13310</v>
      </c>
      <c r="BK989" t="s">
        <v>170</v>
      </c>
      <c r="BL989" t="s">
        <v>13310</v>
      </c>
      <c r="BM989" t="s">
        <v>13311</v>
      </c>
      <c r="BN989">
        <v>11739022</v>
      </c>
      <c r="BO989" t="s">
        <v>535</v>
      </c>
      <c r="BP989" t="s">
        <v>74</v>
      </c>
      <c r="BQ989" t="s">
        <v>74</v>
      </c>
      <c r="BR989" t="s">
        <v>107</v>
      </c>
      <c r="BS989" t="s">
        <v>13312</v>
      </c>
      <c r="BT989" t="str">
        <f>HYPERLINK("https%3A%2F%2Fwww.webofscience.com%2Fwos%2Fwoscc%2Ffull-record%2FWOS:000172973200019","View Full Record in Web of Science")</f>
        <v>View Full Record in Web of Science</v>
      </c>
    </row>
    <row r="990" spans="1:72" x14ac:dyDescent="0.15">
      <c r="A990" t="s">
        <v>72</v>
      </c>
      <c r="B990" t="s">
        <v>13313</v>
      </c>
      <c r="C990" t="s">
        <v>74</v>
      </c>
      <c r="D990" t="s">
        <v>74</v>
      </c>
      <c r="E990" t="s">
        <v>74</v>
      </c>
      <c r="F990" t="s">
        <v>13313</v>
      </c>
      <c r="G990" t="s">
        <v>74</v>
      </c>
      <c r="H990" t="s">
        <v>74</v>
      </c>
      <c r="I990" t="s">
        <v>13314</v>
      </c>
      <c r="J990" t="s">
        <v>5416</v>
      </c>
      <c r="K990" t="s">
        <v>74</v>
      </c>
      <c r="L990" t="s">
        <v>74</v>
      </c>
      <c r="M990" t="s">
        <v>77</v>
      </c>
      <c r="N990" t="s">
        <v>153</v>
      </c>
      <c r="O990" t="s">
        <v>74</v>
      </c>
      <c r="P990" t="s">
        <v>74</v>
      </c>
      <c r="Q990" t="s">
        <v>74</v>
      </c>
      <c r="R990" t="s">
        <v>74</v>
      </c>
      <c r="S990" t="s">
        <v>74</v>
      </c>
      <c r="T990" t="s">
        <v>13315</v>
      </c>
      <c r="U990" t="s">
        <v>13316</v>
      </c>
      <c r="V990" t="s">
        <v>13317</v>
      </c>
      <c r="W990" t="s">
        <v>13318</v>
      </c>
      <c r="X990" t="s">
        <v>13319</v>
      </c>
      <c r="Y990" t="s">
        <v>13320</v>
      </c>
      <c r="Z990" t="s">
        <v>74</v>
      </c>
      <c r="AA990" t="s">
        <v>74</v>
      </c>
      <c r="AB990" t="s">
        <v>10474</v>
      </c>
      <c r="AC990" t="s">
        <v>74</v>
      </c>
      <c r="AD990" t="s">
        <v>74</v>
      </c>
      <c r="AE990" t="s">
        <v>74</v>
      </c>
      <c r="AF990" t="s">
        <v>74</v>
      </c>
      <c r="AG990">
        <v>26</v>
      </c>
      <c r="AH990">
        <v>68</v>
      </c>
      <c r="AI990">
        <v>74</v>
      </c>
      <c r="AJ990">
        <v>2</v>
      </c>
      <c r="AK990">
        <v>12</v>
      </c>
      <c r="AL990" t="s">
        <v>5425</v>
      </c>
      <c r="AM990" t="s">
        <v>5426</v>
      </c>
      <c r="AN990" t="s">
        <v>5427</v>
      </c>
      <c r="AO990" t="s">
        <v>5428</v>
      </c>
      <c r="AP990" t="s">
        <v>74</v>
      </c>
      <c r="AQ990" t="s">
        <v>74</v>
      </c>
      <c r="AR990" t="s">
        <v>5429</v>
      </c>
      <c r="AS990" t="s">
        <v>5430</v>
      </c>
      <c r="AT990" t="s">
        <v>12734</v>
      </c>
      <c r="AU990">
        <v>2001</v>
      </c>
      <c r="AV990">
        <v>204</v>
      </c>
      <c r="AW990">
        <v>24</v>
      </c>
      <c r="AX990" t="s">
        <v>74</v>
      </c>
      <c r="AY990" t="s">
        <v>74</v>
      </c>
      <c r="AZ990" t="s">
        <v>74</v>
      </c>
      <c r="BA990" t="s">
        <v>74</v>
      </c>
      <c r="BB990">
        <v>4353</v>
      </c>
      <c r="BC990">
        <v>4360</v>
      </c>
      <c r="BD990" t="s">
        <v>74</v>
      </c>
      <c r="BE990" t="s">
        <v>74</v>
      </c>
      <c r="BF990" t="s">
        <v>74</v>
      </c>
      <c r="BG990" t="s">
        <v>74</v>
      </c>
      <c r="BH990" t="s">
        <v>74</v>
      </c>
      <c r="BI990">
        <v>8</v>
      </c>
      <c r="BJ990" t="s">
        <v>1814</v>
      </c>
      <c r="BK990" t="s">
        <v>170</v>
      </c>
      <c r="BL990" t="s">
        <v>1815</v>
      </c>
      <c r="BM990" t="s">
        <v>13321</v>
      </c>
      <c r="BN990">
        <v>11815659</v>
      </c>
      <c r="BO990" t="s">
        <v>74</v>
      </c>
      <c r="BP990" t="s">
        <v>74</v>
      </c>
      <c r="BQ990" t="s">
        <v>74</v>
      </c>
      <c r="BR990" t="s">
        <v>107</v>
      </c>
      <c r="BS990" t="s">
        <v>13322</v>
      </c>
      <c r="BT990" t="str">
        <f>HYPERLINK("https%3A%2F%2Fwww.webofscience.com%2Fwos%2Fwoscc%2Ffull-record%2FWOS:000173231500017","View Full Record in Web of Science")</f>
        <v>View Full Record in Web of Science</v>
      </c>
    </row>
    <row r="991" spans="1:72" x14ac:dyDescent="0.15">
      <c r="A991" t="s">
        <v>72</v>
      </c>
      <c r="B991" t="s">
        <v>13323</v>
      </c>
      <c r="C991" t="s">
        <v>74</v>
      </c>
      <c r="D991" t="s">
        <v>74</v>
      </c>
      <c r="E991" t="s">
        <v>74</v>
      </c>
      <c r="F991" t="s">
        <v>13323</v>
      </c>
      <c r="G991" t="s">
        <v>74</v>
      </c>
      <c r="H991" t="s">
        <v>74</v>
      </c>
      <c r="I991" t="s">
        <v>13324</v>
      </c>
      <c r="J991" t="s">
        <v>13325</v>
      </c>
      <c r="K991" t="s">
        <v>74</v>
      </c>
      <c r="L991" t="s">
        <v>74</v>
      </c>
      <c r="M991" t="s">
        <v>77</v>
      </c>
      <c r="N991" t="s">
        <v>153</v>
      </c>
      <c r="O991" t="s">
        <v>74</v>
      </c>
      <c r="P991" t="s">
        <v>74</v>
      </c>
      <c r="Q991" t="s">
        <v>74</v>
      </c>
      <c r="R991" t="s">
        <v>74</v>
      </c>
      <c r="S991" t="s">
        <v>74</v>
      </c>
      <c r="T991" t="s">
        <v>74</v>
      </c>
      <c r="U991" t="s">
        <v>13326</v>
      </c>
      <c r="V991" t="s">
        <v>13327</v>
      </c>
      <c r="W991" t="s">
        <v>13328</v>
      </c>
      <c r="X991" t="s">
        <v>13329</v>
      </c>
      <c r="Y991" t="s">
        <v>13330</v>
      </c>
      <c r="Z991" t="s">
        <v>74</v>
      </c>
      <c r="AA991" t="s">
        <v>13331</v>
      </c>
      <c r="AB991" t="s">
        <v>13332</v>
      </c>
      <c r="AC991" t="s">
        <v>74</v>
      </c>
      <c r="AD991" t="s">
        <v>74</v>
      </c>
      <c r="AE991" t="s">
        <v>74</v>
      </c>
      <c r="AF991" t="s">
        <v>74</v>
      </c>
      <c r="AG991">
        <v>31</v>
      </c>
      <c r="AH991">
        <v>38</v>
      </c>
      <c r="AI991">
        <v>43</v>
      </c>
      <c r="AJ991">
        <v>0</v>
      </c>
      <c r="AK991">
        <v>11</v>
      </c>
      <c r="AL991" t="s">
        <v>394</v>
      </c>
      <c r="AM991" t="s">
        <v>395</v>
      </c>
      <c r="AN991" t="s">
        <v>396</v>
      </c>
      <c r="AO991" t="s">
        <v>13333</v>
      </c>
      <c r="AP991" t="s">
        <v>13334</v>
      </c>
      <c r="AQ991" t="s">
        <v>74</v>
      </c>
      <c r="AR991" t="s">
        <v>13335</v>
      </c>
      <c r="AS991" t="s">
        <v>13336</v>
      </c>
      <c r="AT991" t="s">
        <v>12991</v>
      </c>
      <c r="AU991">
        <v>2001</v>
      </c>
      <c r="AV991">
        <v>72</v>
      </c>
      <c r="AW991">
        <v>1</v>
      </c>
      <c r="AX991" t="s">
        <v>74</v>
      </c>
      <c r="AY991" t="s">
        <v>74</v>
      </c>
      <c r="AZ991" t="s">
        <v>74</v>
      </c>
      <c r="BA991" t="s">
        <v>74</v>
      </c>
      <c r="BB991">
        <v>22</v>
      </c>
      <c r="BC991">
        <v>29</v>
      </c>
      <c r="BD991" t="s">
        <v>74</v>
      </c>
      <c r="BE991" t="s">
        <v>13337</v>
      </c>
      <c r="BF991" t="str">
        <f>HYPERLINK("http://dx.doi.org/10.1648/0273-8570-72.1.22","http://dx.doi.org/10.1648/0273-8570-72.1.22")</f>
        <v>http://dx.doi.org/10.1648/0273-8570-72.1.22</v>
      </c>
      <c r="BG991" t="s">
        <v>74</v>
      </c>
      <c r="BH991" t="s">
        <v>74</v>
      </c>
      <c r="BI991">
        <v>8</v>
      </c>
      <c r="BJ991" t="s">
        <v>4072</v>
      </c>
      <c r="BK991" t="s">
        <v>170</v>
      </c>
      <c r="BL991" t="s">
        <v>1001</v>
      </c>
      <c r="BM991" t="s">
        <v>13338</v>
      </c>
      <c r="BN991" t="s">
        <v>74</v>
      </c>
      <c r="BO991" t="s">
        <v>74</v>
      </c>
      <c r="BP991" t="s">
        <v>74</v>
      </c>
      <c r="BQ991" t="s">
        <v>74</v>
      </c>
      <c r="BR991" t="s">
        <v>107</v>
      </c>
      <c r="BS991" t="s">
        <v>13339</v>
      </c>
      <c r="BT991" t="str">
        <f>HYPERLINK("https%3A%2F%2Fwww.webofscience.com%2Fwos%2Fwoscc%2Ffull-record%2FWOS:000167072200003","View Full Record in Web of Science")</f>
        <v>View Full Record in Web of Science</v>
      </c>
    </row>
    <row r="992" spans="1:72" x14ac:dyDescent="0.15">
      <c r="A992" t="s">
        <v>72</v>
      </c>
      <c r="B992" t="s">
        <v>13340</v>
      </c>
      <c r="C992" t="s">
        <v>74</v>
      </c>
      <c r="D992" t="s">
        <v>74</v>
      </c>
      <c r="E992" t="s">
        <v>74</v>
      </c>
      <c r="F992" t="s">
        <v>13340</v>
      </c>
      <c r="G992" t="s">
        <v>74</v>
      </c>
      <c r="H992" t="s">
        <v>74</v>
      </c>
      <c r="I992" t="s">
        <v>13341</v>
      </c>
      <c r="J992" t="s">
        <v>4120</v>
      </c>
      <c r="K992" t="s">
        <v>74</v>
      </c>
      <c r="L992" t="s">
        <v>74</v>
      </c>
      <c r="M992" t="s">
        <v>77</v>
      </c>
      <c r="N992" t="s">
        <v>153</v>
      </c>
      <c r="O992" t="s">
        <v>74</v>
      </c>
      <c r="P992" t="s">
        <v>74</v>
      </c>
      <c r="Q992" t="s">
        <v>74</v>
      </c>
      <c r="R992" t="s">
        <v>74</v>
      </c>
      <c r="S992" t="s">
        <v>74</v>
      </c>
      <c r="T992" t="s">
        <v>74</v>
      </c>
      <c r="U992" t="s">
        <v>13342</v>
      </c>
      <c r="V992" t="s">
        <v>13343</v>
      </c>
      <c r="W992" t="s">
        <v>13344</v>
      </c>
      <c r="X992" t="s">
        <v>13345</v>
      </c>
      <c r="Y992" t="s">
        <v>13346</v>
      </c>
      <c r="Z992" t="s">
        <v>13347</v>
      </c>
      <c r="AA992" t="s">
        <v>13348</v>
      </c>
      <c r="AB992" t="s">
        <v>13349</v>
      </c>
      <c r="AC992" t="s">
        <v>74</v>
      </c>
      <c r="AD992" t="s">
        <v>74</v>
      </c>
      <c r="AE992" t="s">
        <v>74</v>
      </c>
      <c r="AF992" t="s">
        <v>74</v>
      </c>
      <c r="AG992">
        <v>18</v>
      </c>
      <c r="AH992">
        <v>11</v>
      </c>
      <c r="AI992">
        <v>11</v>
      </c>
      <c r="AJ992">
        <v>0</v>
      </c>
      <c r="AK992">
        <v>2</v>
      </c>
      <c r="AL992" t="s">
        <v>161</v>
      </c>
      <c r="AM992" t="s">
        <v>162</v>
      </c>
      <c r="AN992" t="s">
        <v>163</v>
      </c>
      <c r="AO992" t="s">
        <v>4130</v>
      </c>
      <c r="AP992" t="s">
        <v>4131</v>
      </c>
      <c r="AQ992" t="s">
        <v>74</v>
      </c>
      <c r="AR992" t="s">
        <v>4132</v>
      </c>
      <c r="AS992" t="s">
        <v>4133</v>
      </c>
      <c r="AT992" t="s">
        <v>13205</v>
      </c>
      <c r="AU992">
        <v>2001</v>
      </c>
      <c r="AV992">
        <v>106</v>
      </c>
      <c r="AW992" t="s">
        <v>13350</v>
      </c>
      <c r="AX992" t="s">
        <v>74</v>
      </c>
      <c r="AY992" t="s">
        <v>74</v>
      </c>
      <c r="AZ992" t="s">
        <v>74</v>
      </c>
      <c r="BA992" t="s">
        <v>74</v>
      </c>
      <c r="BB992">
        <v>28913</v>
      </c>
      <c r="BC992">
        <v>28924</v>
      </c>
      <c r="BD992" t="s">
        <v>74</v>
      </c>
      <c r="BE992" t="s">
        <v>13351</v>
      </c>
      <c r="BF992" t="str">
        <f>HYPERLINK("http://dx.doi.org/10.1029/2001JA900093","http://dx.doi.org/10.1029/2001JA900093")</f>
        <v>http://dx.doi.org/10.1029/2001JA900093</v>
      </c>
      <c r="BG992" t="s">
        <v>74</v>
      </c>
      <c r="BH992" t="s">
        <v>74</v>
      </c>
      <c r="BI992">
        <v>12</v>
      </c>
      <c r="BJ992" t="s">
        <v>1856</v>
      </c>
      <c r="BK992" t="s">
        <v>170</v>
      </c>
      <c r="BL992" t="s">
        <v>1856</v>
      </c>
      <c r="BM992" t="s">
        <v>13352</v>
      </c>
      <c r="BN992" t="s">
        <v>74</v>
      </c>
      <c r="BO992" t="s">
        <v>74</v>
      </c>
      <c r="BP992" t="s">
        <v>74</v>
      </c>
      <c r="BQ992" t="s">
        <v>74</v>
      </c>
      <c r="BR992" t="s">
        <v>107</v>
      </c>
      <c r="BS992" t="s">
        <v>13353</v>
      </c>
      <c r="BT992" t="str">
        <f>HYPERLINK("https%3A%2F%2Fwww.webofscience.com%2Fwos%2Fwoscc%2Ffull-record%2FWOS:000173728500010","View Full Record in Web of Science")</f>
        <v>View Full Record in Web of Science</v>
      </c>
    </row>
    <row r="993" spans="1:72" x14ac:dyDescent="0.15">
      <c r="A993" t="s">
        <v>72</v>
      </c>
      <c r="B993" t="s">
        <v>13354</v>
      </c>
      <c r="C993" t="s">
        <v>74</v>
      </c>
      <c r="D993" t="s">
        <v>74</v>
      </c>
      <c r="E993" t="s">
        <v>74</v>
      </c>
      <c r="F993" t="s">
        <v>13354</v>
      </c>
      <c r="G993" t="s">
        <v>74</v>
      </c>
      <c r="H993" t="s">
        <v>74</v>
      </c>
      <c r="I993" t="s">
        <v>13355</v>
      </c>
      <c r="J993" t="s">
        <v>4120</v>
      </c>
      <c r="K993" t="s">
        <v>74</v>
      </c>
      <c r="L993" t="s">
        <v>74</v>
      </c>
      <c r="M993" t="s">
        <v>77</v>
      </c>
      <c r="N993" t="s">
        <v>153</v>
      </c>
      <c r="O993" t="s">
        <v>74</v>
      </c>
      <c r="P993" t="s">
        <v>74</v>
      </c>
      <c r="Q993" t="s">
        <v>74</v>
      </c>
      <c r="R993" t="s">
        <v>74</v>
      </c>
      <c r="S993" t="s">
        <v>74</v>
      </c>
      <c r="T993" t="s">
        <v>74</v>
      </c>
      <c r="U993" t="s">
        <v>13356</v>
      </c>
      <c r="V993" t="s">
        <v>13357</v>
      </c>
      <c r="W993" t="s">
        <v>2466</v>
      </c>
      <c r="X993" t="s">
        <v>852</v>
      </c>
      <c r="Y993" t="s">
        <v>300</v>
      </c>
      <c r="Z993" t="s">
        <v>13358</v>
      </c>
      <c r="AA993" t="s">
        <v>13359</v>
      </c>
      <c r="AB993" t="s">
        <v>13349</v>
      </c>
      <c r="AC993" t="s">
        <v>74</v>
      </c>
      <c r="AD993" t="s">
        <v>74</v>
      </c>
      <c r="AE993" t="s">
        <v>74</v>
      </c>
      <c r="AF993" t="s">
        <v>74</v>
      </c>
      <c r="AG993">
        <v>33</v>
      </c>
      <c r="AH993">
        <v>32</v>
      </c>
      <c r="AI993">
        <v>35</v>
      </c>
      <c r="AJ993">
        <v>0</v>
      </c>
      <c r="AK993">
        <v>1</v>
      </c>
      <c r="AL993" t="s">
        <v>161</v>
      </c>
      <c r="AM993" t="s">
        <v>162</v>
      </c>
      <c r="AN993" t="s">
        <v>163</v>
      </c>
      <c r="AO993" t="s">
        <v>4130</v>
      </c>
      <c r="AP993" t="s">
        <v>4131</v>
      </c>
      <c r="AQ993" t="s">
        <v>74</v>
      </c>
      <c r="AR993" t="s">
        <v>4132</v>
      </c>
      <c r="AS993" t="s">
        <v>4133</v>
      </c>
      <c r="AT993" t="s">
        <v>13205</v>
      </c>
      <c r="AU993">
        <v>2001</v>
      </c>
      <c r="AV993">
        <v>106</v>
      </c>
      <c r="AW993" t="s">
        <v>13350</v>
      </c>
      <c r="AX993" t="s">
        <v>74</v>
      </c>
      <c r="AY993" t="s">
        <v>74</v>
      </c>
      <c r="AZ993" t="s">
        <v>74</v>
      </c>
      <c r="BA993" t="s">
        <v>74</v>
      </c>
      <c r="BB993">
        <v>28995</v>
      </c>
      <c r="BC993">
        <v>29007</v>
      </c>
      <c r="BD993" t="s">
        <v>74</v>
      </c>
      <c r="BE993" t="s">
        <v>13360</v>
      </c>
      <c r="BF993" t="str">
        <f>HYPERLINK("http://dx.doi.org/10.1029/2001JA900084","http://dx.doi.org/10.1029/2001JA900084")</f>
        <v>http://dx.doi.org/10.1029/2001JA900084</v>
      </c>
      <c r="BG993" t="s">
        <v>74</v>
      </c>
      <c r="BH993" t="s">
        <v>74</v>
      </c>
      <c r="BI993">
        <v>13</v>
      </c>
      <c r="BJ993" t="s">
        <v>1856</v>
      </c>
      <c r="BK993" t="s">
        <v>170</v>
      </c>
      <c r="BL993" t="s">
        <v>1856</v>
      </c>
      <c r="BM993" t="s">
        <v>13352</v>
      </c>
      <c r="BN993" t="s">
        <v>74</v>
      </c>
      <c r="BO993" t="s">
        <v>173</v>
      </c>
      <c r="BP993" t="s">
        <v>74</v>
      </c>
      <c r="BQ993" t="s">
        <v>74</v>
      </c>
      <c r="BR993" t="s">
        <v>107</v>
      </c>
      <c r="BS993" t="s">
        <v>13361</v>
      </c>
      <c r="BT993" t="str">
        <f>HYPERLINK("https%3A%2F%2Fwww.webofscience.com%2Fwos%2Fwoscc%2Ffull-record%2FWOS:000173728500015","View Full Record in Web of Science")</f>
        <v>View Full Record in Web of Science</v>
      </c>
    </row>
    <row r="994" spans="1:72" x14ac:dyDescent="0.15">
      <c r="A994" t="s">
        <v>72</v>
      </c>
      <c r="B994" t="s">
        <v>13362</v>
      </c>
      <c r="C994" t="s">
        <v>74</v>
      </c>
      <c r="D994" t="s">
        <v>74</v>
      </c>
      <c r="E994" t="s">
        <v>74</v>
      </c>
      <c r="F994" t="s">
        <v>13362</v>
      </c>
      <c r="G994" t="s">
        <v>74</v>
      </c>
      <c r="H994" t="s">
        <v>74</v>
      </c>
      <c r="I994" t="s">
        <v>13363</v>
      </c>
      <c r="J994" t="s">
        <v>4120</v>
      </c>
      <c r="K994" t="s">
        <v>74</v>
      </c>
      <c r="L994" t="s">
        <v>74</v>
      </c>
      <c r="M994" t="s">
        <v>77</v>
      </c>
      <c r="N994" t="s">
        <v>153</v>
      </c>
      <c r="O994" t="s">
        <v>74</v>
      </c>
      <c r="P994" t="s">
        <v>74</v>
      </c>
      <c r="Q994" t="s">
        <v>74</v>
      </c>
      <c r="R994" t="s">
        <v>74</v>
      </c>
      <c r="S994" t="s">
        <v>74</v>
      </c>
      <c r="T994" t="s">
        <v>74</v>
      </c>
      <c r="U994" t="s">
        <v>13364</v>
      </c>
      <c r="V994" t="s">
        <v>13365</v>
      </c>
      <c r="W994" t="s">
        <v>13366</v>
      </c>
      <c r="X994" t="s">
        <v>13367</v>
      </c>
      <c r="Y994" t="s">
        <v>13368</v>
      </c>
      <c r="Z994" t="s">
        <v>13369</v>
      </c>
      <c r="AA994" t="s">
        <v>13370</v>
      </c>
      <c r="AB994" t="s">
        <v>13371</v>
      </c>
      <c r="AC994" t="s">
        <v>74</v>
      </c>
      <c r="AD994" t="s">
        <v>74</v>
      </c>
      <c r="AE994" t="s">
        <v>74</v>
      </c>
      <c r="AF994" t="s">
        <v>74</v>
      </c>
      <c r="AG994">
        <v>57</v>
      </c>
      <c r="AH994">
        <v>19</v>
      </c>
      <c r="AI994">
        <v>21</v>
      </c>
      <c r="AJ994">
        <v>0</v>
      </c>
      <c r="AK994">
        <v>2</v>
      </c>
      <c r="AL994" t="s">
        <v>161</v>
      </c>
      <c r="AM994" t="s">
        <v>162</v>
      </c>
      <c r="AN994" t="s">
        <v>163</v>
      </c>
      <c r="AO994" t="s">
        <v>4130</v>
      </c>
      <c r="AP994" t="s">
        <v>4131</v>
      </c>
      <c r="AQ994" t="s">
        <v>74</v>
      </c>
      <c r="AR994" t="s">
        <v>4132</v>
      </c>
      <c r="AS994" t="s">
        <v>4133</v>
      </c>
      <c r="AT994" t="s">
        <v>13205</v>
      </c>
      <c r="AU994">
        <v>2001</v>
      </c>
      <c r="AV994">
        <v>106</v>
      </c>
      <c r="AW994" t="s">
        <v>13350</v>
      </c>
      <c r="AX994" t="s">
        <v>74</v>
      </c>
      <c r="AY994" t="s">
        <v>74</v>
      </c>
      <c r="AZ994" t="s">
        <v>74</v>
      </c>
      <c r="BA994" t="s">
        <v>74</v>
      </c>
      <c r="BB994">
        <v>29071</v>
      </c>
      <c r="BC994">
        <v>29089</v>
      </c>
      <c r="BD994" t="s">
        <v>74</v>
      </c>
      <c r="BE994" t="s">
        <v>13372</v>
      </c>
      <c r="BF994" t="str">
        <f>HYPERLINK("http://dx.doi.org/10.1029/2001JA900002","http://dx.doi.org/10.1029/2001JA900002")</f>
        <v>http://dx.doi.org/10.1029/2001JA900002</v>
      </c>
      <c r="BG994" t="s">
        <v>74</v>
      </c>
      <c r="BH994" t="s">
        <v>74</v>
      </c>
      <c r="BI994">
        <v>19</v>
      </c>
      <c r="BJ994" t="s">
        <v>1856</v>
      </c>
      <c r="BK994" t="s">
        <v>170</v>
      </c>
      <c r="BL994" t="s">
        <v>1856</v>
      </c>
      <c r="BM994" t="s">
        <v>13352</v>
      </c>
      <c r="BN994" t="s">
        <v>74</v>
      </c>
      <c r="BO994" t="s">
        <v>1767</v>
      </c>
      <c r="BP994" t="s">
        <v>74</v>
      </c>
      <c r="BQ994" t="s">
        <v>74</v>
      </c>
      <c r="BR994" t="s">
        <v>107</v>
      </c>
      <c r="BS994" t="s">
        <v>13373</v>
      </c>
      <c r="BT994" t="str">
        <f>HYPERLINK("https%3A%2F%2Fwww.webofscience.com%2Fwos%2Fwoscc%2Ffull-record%2FWOS:000173728500020","View Full Record in Web of Science")</f>
        <v>View Full Record in Web of Science</v>
      </c>
    </row>
    <row r="995" spans="1:72" x14ac:dyDescent="0.15">
      <c r="A995" t="s">
        <v>72</v>
      </c>
      <c r="B995" t="s">
        <v>13374</v>
      </c>
      <c r="C995" t="s">
        <v>74</v>
      </c>
      <c r="D995" t="s">
        <v>74</v>
      </c>
      <c r="E995" t="s">
        <v>74</v>
      </c>
      <c r="F995" t="s">
        <v>13374</v>
      </c>
      <c r="G995" t="s">
        <v>74</v>
      </c>
      <c r="H995" t="s">
        <v>74</v>
      </c>
      <c r="I995" t="s">
        <v>13375</v>
      </c>
      <c r="J995" t="s">
        <v>4120</v>
      </c>
      <c r="K995" t="s">
        <v>74</v>
      </c>
      <c r="L995" t="s">
        <v>74</v>
      </c>
      <c r="M995" t="s">
        <v>77</v>
      </c>
      <c r="N995" t="s">
        <v>153</v>
      </c>
      <c r="O995" t="s">
        <v>74</v>
      </c>
      <c r="P995" t="s">
        <v>74</v>
      </c>
      <c r="Q995" t="s">
        <v>74</v>
      </c>
      <c r="R995" t="s">
        <v>74</v>
      </c>
      <c r="S995" t="s">
        <v>74</v>
      </c>
      <c r="T995" t="s">
        <v>74</v>
      </c>
      <c r="U995" t="s">
        <v>13376</v>
      </c>
      <c r="V995" t="s">
        <v>13377</v>
      </c>
      <c r="W995" t="s">
        <v>13378</v>
      </c>
      <c r="X995" t="s">
        <v>13379</v>
      </c>
      <c r="Y995" t="s">
        <v>13380</v>
      </c>
      <c r="Z995" t="s">
        <v>13381</v>
      </c>
      <c r="AA995" t="s">
        <v>13382</v>
      </c>
      <c r="AB995" t="s">
        <v>13383</v>
      </c>
      <c r="AC995" t="s">
        <v>74</v>
      </c>
      <c r="AD995" t="s">
        <v>74</v>
      </c>
      <c r="AE995" t="s">
        <v>74</v>
      </c>
      <c r="AF995" t="s">
        <v>74</v>
      </c>
      <c r="AG995">
        <v>30</v>
      </c>
      <c r="AH995">
        <v>5</v>
      </c>
      <c r="AI995">
        <v>5</v>
      </c>
      <c r="AJ995">
        <v>0</v>
      </c>
      <c r="AK995">
        <v>3</v>
      </c>
      <c r="AL995" t="s">
        <v>161</v>
      </c>
      <c r="AM995" t="s">
        <v>162</v>
      </c>
      <c r="AN995" t="s">
        <v>163</v>
      </c>
      <c r="AO995" t="s">
        <v>4130</v>
      </c>
      <c r="AP995" t="s">
        <v>4131</v>
      </c>
      <c r="AQ995" t="s">
        <v>74</v>
      </c>
      <c r="AR995" t="s">
        <v>4132</v>
      </c>
      <c r="AS995" t="s">
        <v>4133</v>
      </c>
      <c r="AT995" t="s">
        <v>13205</v>
      </c>
      <c r="AU995">
        <v>2001</v>
      </c>
      <c r="AV995">
        <v>106</v>
      </c>
      <c r="AW995" t="s">
        <v>13350</v>
      </c>
      <c r="AX995" t="s">
        <v>74</v>
      </c>
      <c r="AY995" t="s">
        <v>74</v>
      </c>
      <c r="AZ995" t="s">
        <v>74</v>
      </c>
      <c r="BA995" t="s">
        <v>74</v>
      </c>
      <c r="BB995">
        <v>29771</v>
      </c>
      <c r="BC995">
        <v>29781</v>
      </c>
      <c r="BD995" t="s">
        <v>74</v>
      </c>
      <c r="BE995" t="s">
        <v>13384</v>
      </c>
      <c r="BF995" t="str">
        <f>HYPERLINK("http://dx.doi.org/10.1029/2001JA000081","http://dx.doi.org/10.1029/2001JA000081")</f>
        <v>http://dx.doi.org/10.1029/2001JA000081</v>
      </c>
      <c r="BG995" t="s">
        <v>74</v>
      </c>
      <c r="BH995" t="s">
        <v>74</v>
      </c>
      <c r="BI995">
        <v>11</v>
      </c>
      <c r="BJ995" t="s">
        <v>1856</v>
      </c>
      <c r="BK995" t="s">
        <v>170</v>
      </c>
      <c r="BL995" t="s">
        <v>1856</v>
      </c>
      <c r="BM995" t="s">
        <v>13352</v>
      </c>
      <c r="BN995" t="s">
        <v>74</v>
      </c>
      <c r="BO995" t="s">
        <v>173</v>
      </c>
      <c r="BP995" t="s">
        <v>74</v>
      </c>
      <c r="BQ995" t="s">
        <v>74</v>
      </c>
      <c r="BR995" t="s">
        <v>107</v>
      </c>
      <c r="BS995" t="s">
        <v>13385</v>
      </c>
      <c r="BT995" t="str">
        <f>HYPERLINK("https%3A%2F%2Fwww.webofscience.com%2Fwos%2Fwoscc%2Ffull-record%2FWOS:000173728500076","View Full Record in Web of Science")</f>
        <v>View Full Record in Web of Science</v>
      </c>
    </row>
    <row r="996" spans="1:72" x14ac:dyDescent="0.15">
      <c r="A996" t="s">
        <v>72</v>
      </c>
      <c r="B996" t="s">
        <v>13386</v>
      </c>
      <c r="C996" t="s">
        <v>74</v>
      </c>
      <c r="D996" t="s">
        <v>74</v>
      </c>
      <c r="E996" t="s">
        <v>74</v>
      </c>
      <c r="F996" t="s">
        <v>13386</v>
      </c>
      <c r="G996" t="s">
        <v>74</v>
      </c>
      <c r="H996" t="s">
        <v>74</v>
      </c>
      <c r="I996" t="s">
        <v>13387</v>
      </c>
      <c r="J996" t="s">
        <v>4120</v>
      </c>
      <c r="K996" t="s">
        <v>74</v>
      </c>
      <c r="L996" t="s">
        <v>74</v>
      </c>
      <c r="M996" t="s">
        <v>77</v>
      </c>
      <c r="N996" t="s">
        <v>153</v>
      </c>
      <c r="O996" t="s">
        <v>74</v>
      </c>
      <c r="P996" t="s">
        <v>74</v>
      </c>
      <c r="Q996" t="s">
        <v>74</v>
      </c>
      <c r="R996" t="s">
        <v>74</v>
      </c>
      <c r="S996" t="s">
        <v>74</v>
      </c>
      <c r="T996" t="s">
        <v>74</v>
      </c>
      <c r="U996" t="s">
        <v>13388</v>
      </c>
      <c r="V996" t="s">
        <v>13389</v>
      </c>
      <c r="W996" t="s">
        <v>13390</v>
      </c>
      <c r="X996" t="s">
        <v>13391</v>
      </c>
      <c r="Y996" t="s">
        <v>300</v>
      </c>
      <c r="Z996" t="s">
        <v>13392</v>
      </c>
      <c r="AA996" t="s">
        <v>13393</v>
      </c>
      <c r="AB996" t="s">
        <v>13394</v>
      </c>
      <c r="AC996" t="s">
        <v>74</v>
      </c>
      <c r="AD996" t="s">
        <v>74</v>
      </c>
      <c r="AE996" t="s">
        <v>74</v>
      </c>
      <c r="AF996" t="s">
        <v>74</v>
      </c>
      <c r="AG996">
        <v>19</v>
      </c>
      <c r="AH996">
        <v>4</v>
      </c>
      <c r="AI996">
        <v>4</v>
      </c>
      <c r="AJ996">
        <v>0</v>
      </c>
      <c r="AK996">
        <v>0</v>
      </c>
      <c r="AL996" t="s">
        <v>161</v>
      </c>
      <c r="AM996" t="s">
        <v>162</v>
      </c>
      <c r="AN996" t="s">
        <v>163</v>
      </c>
      <c r="AO996" t="s">
        <v>4130</v>
      </c>
      <c r="AP996" t="s">
        <v>4131</v>
      </c>
      <c r="AQ996" t="s">
        <v>74</v>
      </c>
      <c r="AR996" t="s">
        <v>4132</v>
      </c>
      <c r="AS996" t="s">
        <v>4133</v>
      </c>
      <c r="AT996" t="s">
        <v>13205</v>
      </c>
      <c r="AU996">
        <v>2001</v>
      </c>
      <c r="AV996">
        <v>106</v>
      </c>
      <c r="AW996" t="s">
        <v>13350</v>
      </c>
      <c r="AX996" t="s">
        <v>74</v>
      </c>
      <c r="AY996" t="s">
        <v>74</v>
      </c>
      <c r="AZ996" t="s">
        <v>74</v>
      </c>
      <c r="BA996" t="s">
        <v>74</v>
      </c>
      <c r="BB996">
        <v>30199</v>
      </c>
      <c r="BC996">
        <v>30208</v>
      </c>
      <c r="BD996" t="s">
        <v>74</v>
      </c>
      <c r="BE996" t="s">
        <v>13395</v>
      </c>
      <c r="BF996" t="str">
        <f>HYPERLINK("http://dx.doi.org/10.1029/2001JA900076","http://dx.doi.org/10.1029/2001JA900076")</f>
        <v>http://dx.doi.org/10.1029/2001JA900076</v>
      </c>
      <c r="BG996" t="s">
        <v>74</v>
      </c>
      <c r="BH996" t="s">
        <v>74</v>
      </c>
      <c r="BI996">
        <v>10</v>
      </c>
      <c r="BJ996" t="s">
        <v>1856</v>
      </c>
      <c r="BK996" t="s">
        <v>170</v>
      </c>
      <c r="BL996" t="s">
        <v>1856</v>
      </c>
      <c r="BM996" t="s">
        <v>13352</v>
      </c>
      <c r="BN996" t="s">
        <v>74</v>
      </c>
      <c r="BO996" t="s">
        <v>1682</v>
      </c>
      <c r="BP996" t="s">
        <v>74</v>
      </c>
      <c r="BQ996" t="s">
        <v>74</v>
      </c>
      <c r="BR996" t="s">
        <v>107</v>
      </c>
      <c r="BS996" t="s">
        <v>13396</v>
      </c>
      <c r="BT996" t="str">
        <f>HYPERLINK("https%3A%2F%2Fwww.webofscience.com%2Fwos%2Fwoscc%2Ffull-record%2FWOS:000173728500112","View Full Record in Web of Science")</f>
        <v>View Full Record in Web of Science</v>
      </c>
    </row>
    <row r="997" spans="1:72" x14ac:dyDescent="0.15">
      <c r="A997" t="s">
        <v>72</v>
      </c>
      <c r="B997" t="s">
        <v>13397</v>
      </c>
      <c r="C997" t="s">
        <v>74</v>
      </c>
      <c r="D997" t="s">
        <v>74</v>
      </c>
      <c r="E997" t="s">
        <v>74</v>
      </c>
      <c r="F997" t="s">
        <v>13397</v>
      </c>
      <c r="G997" t="s">
        <v>74</v>
      </c>
      <c r="H997" t="s">
        <v>74</v>
      </c>
      <c r="I997" t="s">
        <v>13398</v>
      </c>
      <c r="J997" t="s">
        <v>13399</v>
      </c>
      <c r="K997" t="s">
        <v>74</v>
      </c>
      <c r="L997" t="s">
        <v>74</v>
      </c>
      <c r="M997" t="s">
        <v>77</v>
      </c>
      <c r="N997" t="s">
        <v>947</v>
      </c>
      <c r="O997" t="s">
        <v>74</v>
      </c>
      <c r="P997" t="s">
        <v>74</v>
      </c>
      <c r="Q997" t="s">
        <v>74</v>
      </c>
      <c r="R997" t="s">
        <v>74</v>
      </c>
      <c r="S997" t="s">
        <v>74</v>
      </c>
      <c r="T997" t="s">
        <v>13400</v>
      </c>
      <c r="U997" t="s">
        <v>13401</v>
      </c>
      <c r="V997" t="s">
        <v>13402</v>
      </c>
      <c r="W997" t="s">
        <v>13403</v>
      </c>
      <c r="X997" t="s">
        <v>5087</v>
      </c>
      <c r="Y997" t="s">
        <v>13404</v>
      </c>
      <c r="Z997" t="s">
        <v>74</v>
      </c>
      <c r="AA997" t="s">
        <v>13405</v>
      </c>
      <c r="AB997" t="s">
        <v>13406</v>
      </c>
      <c r="AC997" t="s">
        <v>74</v>
      </c>
      <c r="AD997" t="s">
        <v>74</v>
      </c>
      <c r="AE997" t="s">
        <v>74</v>
      </c>
      <c r="AF997" t="s">
        <v>74</v>
      </c>
      <c r="AG997">
        <v>26</v>
      </c>
      <c r="AH997">
        <v>23</v>
      </c>
      <c r="AI997">
        <v>24</v>
      </c>
      <c r="AJ997">
        <v>1</v>
      </c>
      <c r="AK997">
        <v>9</v>
      </c>
      <c r="AL997" t="s">
        <v>13407</v>
      </c>
      <c r="AM997" t="s">
        <v>13408</v>
      </c>
      <c r="AN997" t="s">
        <v>13409</v>
      </c>
      <c r="AO997" t="s">
        <v>13410</v>
      </c>
      <c r="AP997" t="s">
        <v>74</v>
      </c>
      <c r="AQ997" t="s">
        <v>74</v>
      </c>
      <c r="AR997" t="s">
        <v>13411</v>
      </c>
      <c r="AS997" t="s">
        <v>13412</v>
      </c>
      <c r="AT997" t="s">
        <v>12734</v>
      </c>
      <c r="AU997">
        <v>2001</v>
      </c>
      <c r="AV997">
        <v>3</v>
      </c>
      <c r="AW997">
        <v>4</v>
      </c>
      <c r="AX997" t="s">
        <v>74</v>
      </c>
      <c r="AY997" t="s">
        <v>74</v>
      </c>
      <c r="AZ997" t="s">
        <v>74</v>
      </c>
      <c r="BA997" t="s">
        <v>74</v>
      </c>
      <c r="BB997">
        <v>817</v>
      </c>
      <c r="BC997">
        <v>830</v>
      </c>
      <c r="BD997" t="s">
        <v>74</v>
      </c>
      <c r="BE997" t="s">
        <v>74</v>
      </c>
      <c r="BF997" t="s">
        <v>74</v>
      </c>
      <c r="BG997" t="s">
        <v>74</v>
      </c>
      <c r="BH997" t="s">
        <v>74</v>
      </c>
      <c r="BI997">
        <v>14</v>
      </c>
      <c r="BJ997" t="s">
        <v>13413</v>
      </c>
      <c r="BK997" t="s">
        <v>170</v>
      </c>
      <c r="BL997" t="s">
        <v>13414</v>
      </c>
      <c r="BM997" t="s">
        <v>13415</v>
      </c>
      <c r="BN997" t="s">
        <v>74</v>
      </c>
      <c r="BO997" t="s">
        <v>74</v>
      </c>
      <c r="BP997" t="s">
        <v>74</v>
      </c>
      <c r="BQ997" t="s">
        <v>74</v>
      </c>
      <c r="BR997" t="s">
        <v>107</v>
      </c>
      <c r="BS997" t="s">
        <v>13416</v>
      </c>
      <c r="BT997" t="str">
        <f>HYPERLINK("https%3A%2F%2Fwww.webofscience.com%2Fwos%2Fwoscc%2Ffull-record%2FWOS:000172819600002","View Full Record in Web of Science")</f>
        <v>View Full Record in Web of Science</v>
      </c>
    </row>
    <row r="998" spans="1:72" x14ac:dyDescent="0.15">
      <c r="A998" t="s">
        <v>72</v>
      </c>
      <c r="B998" t="s">
        <v>13417</v>
      </c>
      <c r="C998" t="s">
        <v>74</v>
      </c>
      <c r="D998" t="s">
        <v>74</v>
      </c>
      <c r="E998" t="s">
        <v>74</v>
      </c>
      <c r="F998" t="s">
        <v>13417</v>
      </c>
      <c r="G998" t="s">
        <v>74</v>
      </c>
      <c r="H998" t="s">
        <v>74</v>
      </c>
      <c r="I998" t="s">
        <v>13418</v>
      </c>
      <c r="J998" t="s">
        <v>1657</v>
      </c>
      <c r="K998" t="s">
        <v>74</v>
      </c>
      <c r="L998" t="s">
        <v>74</v>
      </c>
      <c r="M998" t="s">
        <v>77</v>
      </c>
      <c r="N998" t="s">
        <v>153</v>
      </c>
      <c r="O998" t="s">
        <v>74</v>
      </c>
      <c r="P998" t="s">
        <v>74</v>
      </c>
      <c r="Q998" t="s">
        <v>74</v>
      </c>
      <c r="R998" t="s">
        <v>74</v>
      </c>
      <c r="S998" t="s">
        <v>74</v>
      </c>
      <c r="T998" t="s">
        <v>74</v>
      </c>
      <c r="U998" t="s">
        <v>13419</v>
      </c>
      <c r="V998" t="s">
        <v>13420</v>
      </c>
      <c r="W998" t="s">
        <v>5472</v>
      </c>
      <c r="X998" t="s">
        <v>5473</v>
      </c>
      <c r="Y998" t="s">
        <v>13421</v>
      </c>
      <c r="Z998" t="s">
        <v>74</v>
      </c>
      <c r="AA998" t="s">
        <v>13422</v>
      </c>
      <c r="AB998" t="s">
        <v>13423</v>
      </c>
      <c r="AC998" t="s">
        <v>74</v>
      </c>
      <c r="AD998" t="s">
        <v>74</v>
      </c>
      <c r="AE998" t="s">
        <v>74</v>
      </c>
      <c r="AF998" t="s">
        <v>74</v>
      </c>
      <c r="AG998">
        <v>52</v>
      </c>
      <c r="AH998">
        <v>165</v>
      </c>
      <c r="AI998">
        <v>180</v>
      </c>
      <c r="AJ998">
        <v>0</v>
      </c>
      <c r="AK998">
        <v>31</v>
      </c>
      <c r="AL998" t="s">
        <v>1439</v>
      </c>
      <c r="AM998" t="s">
        <v>1440</v>
      </c>
      <c r="AN998" t="s">
        <v>1441</v>
      </c>
      <c r="AO998" t="s">
        <v>1666</v>
      </c>
      <c r="AP998" t="s">
        <v>74</v>
      </c>
      <c r="AQ998" t="s">
        <v>74</v>
      </c>
      <c r="AR998" t="s">
        <v>1667</v>
      </c>
      <c r="AS998" t="s">
        <v>1668</v>
      </c>
      <c r="AT998" t="s">
        <v>12734</v>
      </c>
      <c r="AU998">
        <v>2001</v>
      </c>
      <c r="AV998">
        <v>31</v>
      </c>
      <c r="AW998">
        <v>12</v>
      </c>
      <c r="AX998" t="s">
        <v>74</v>
      </c>
      <c r="AY998" t="s">
        <v>74</v>
      </c>
      <c r="AZ998" t="s">
        <v>74</v>
      </c>
      <c r="BA998" t="s">
        <v>74</v>
      </c>
      <c r="BB998">
        <v>3476</v>
      </c>
      <c r="BC998">
        <v>3495</v>
      </c>
      <c r="BD998" t="s">
        <v>74</v>
      </c>
      <c r="BE998" t="s">
        <v>13424</v>
      </c>
      <c r="BF998" t="str">
        <f>HYPERLINK("http://dx.doi.org/10.1175/1520-0485(2001)031&lt;3476:BFBTAR&gt;2.0.CO;2","http://dx.doi.org/10.1175/1520-0485(2001)031&lt;3476:BFBTAR&gt;2.0.CO;2")</f>
        <v>http://dx.doi.org/10.1175/1520-0485(2001)031&lt;3476:BFBTAR&gt;2.0.CO;2</v>
      </c>
      <c r="BG998" t="s">
        <v>74</v>
      </c>
      <c r="BH998" t="s">
        <v>74</v>
      </c>
      <c r="BI998">
        <v>20</v>
      </c>
      <c r="BJ998" t="s">
        <v>1155</v>
      </c>
      <c r="BK998" t="s">
        <v>170</v>
      </c>
      <c r="BL998" t="s">
        <v>1155</v>
      </c>
      <c r="BM998" t="s">
        <v>13425</v>
      </c>
      <c r="BN998" t="s">
        <v>74</v>
      </c>
      <c r="BO998" t="s">
        <v>173</v>
      </c>
      <c r="BP998" t="s">
        <v>74</v>
      </c>
      <c r="BQ998" t="s">
        <v>74</v>
      </c>
      <c r="BR998" t="s">
        <v>107</v>
      </c>
      <c r="BS998" t="s">
        <v>13426</v>
      </c>
      <c r="BT998" t="str">
        <f>HYPERLINK("https%3A%2F%2Fwww.webofscience.com%2Fwos%2Fwoscc%2Ffull-record%2FWOS:000172903300007","View Full Record in Web of Science")</f>
        <v>View Full Record in Web of Science</v>
      </c>
    </row>
    <row r="999" spans="1:72" x14ac:dyDescent="0.15">
      <c r="A999" t="s">
        <v>72</v>
      </c>
      <c r="B999" t="s">
        <v>13427</v>
      </c>
      <c r="C999" t="s">
        <v>74</v>
      </c>
      <c r="D999" t="s">
        <v>74</v>
      </c>
      <c r="E999" t="s">
        <v>74</v>
      </c>
      <c r="F999" t="s">
        <v>13427</v>
      </c>
      <c r="G999" t="s">
        <v>74</v>
      </c>
      <c r="H999" t="s">
        <v>74</v>
      </c>
      <c r="I999" t="s">
        <v>13428</v>
      </c>
      <c r="J999" t="s">
        <v>13429</v>
      </c>
      <c r="K999" t="s">
        <v>74</v>
      </c>
      <c r="L999" t="s">
        <v>74</v>
      </c>
      <c r="M999" t="s">
        <v>77</v>
      </c>
      <c r="N999" t="s">
        <v>153</v>
      </c>
      <c r="O999" t="s">
        <v>74</v>
      </c>
      <c r="P999" t="s">
        <v>74</v>
      </c>
      <c r="Q999" t="s">
        <v>74</v>
      </c>
      <c r="R999" t="s">
        <v>74</v>
      </c>
      <c r="S999" t="s">
        <v>74</v>
      </c>
      <c r="T999" t="s">
        <v>74</v>
      </c>
      <c r="U999" t="s">
        <v>13430</v>
      </c>
      <c r="V999" t="s">
        <v>13431</v>
      </c>
      <c r="W999" t="s">
        <v>13432</v>
      </c>
      <c r="X999" t="s">
        <v>13433</v>
      </c>
      <c r="Y999" t="s">
        <v>13434</v>
      </c>
      <c r="Z999" t="s">
        <v>13435</v>
      </c>
      <c r="AA999" t="s">
        <v>13436</v>
      </c>
      <c r="AB999" t="s">
        <v>13437</v>
      </c>
      <c r="AC999" t="s">
        <v>74</v>
      </c>
      <c r="AD999" t="s">
        <v>74</v>
      </c>
      <c r="AE999" t="s">
        <v>74</v>
      </c>
      <c r="AF999" t="s">
        <v>74</v>
      </c>
      <c r="AG999">
        <v>54</v>
      </c>
      <c r="AH999">
        <v>18</v>
      </c>
      <c r="AI999">
        <v>19</v>
      </c>
      <c r="AJ999">
        <v>0</v>
      </c>
      <c r="AK999">
        <v>7</v>
      </c>
      <c r="AL999" t="s">
        <v>1646</v>
      </c>
      <c r="AM999" t="s">
        <v>895</v>
      </c>
      <c r="AN999" t="s">
        <v>1647</v>
      </c>
      <c r="AO999" t="s">
        <v>13438</v>
      </c>
      <c r="AP999" t="s">
        <v>13439</v>
      </c>
      <c r="AQ999" t="s">
        <v>74</v>
      </c>
      <c r="AR999" t="s">
        <v>13440</v>
      </c>
      <c r="AS999" t="s">
        <v>13441</v>
      </c>
      <c r="AT999" t="s">
        <v>12734</v>
      </c>
      <c r="AU999">
        <v>2001</v>
      </c>
      <c r="AV999">
        <v>23</v>
      </c>
      <c r="AW999">
        <v>12</v>
      </c>
      <c r="AX999" t="s">
        <v>74</v>
      </c>
      <c r="AY999" t="s">
        <v>74</v>
      </c>
      <c r="AZ999" t="s">
        <v>74</v>
      </c>
      <c r="BA999" t="s">
        <v>74</v>
      </c>
      <c r="BB999">
        <v>1345</v>
      </c>
      <c r="BC999">
        <v>1360</v>
      </c>
      <c r="BD999" t="s">
        <v>74</v>
      </c>
      <c r="BE999" t="s">
        <v>13442</v>
      </c>
      <c r="BF999" t="str">
        <f>HYPERLINK("http://dx.doi.org/10.1093/plankt/23.12.1345","http://dx.doi.org/10.1093/plankt/23.12.1345")</f>
        <v>http://dx.doi.org/10.1093/plankt/23.12.1345</v>
      </c>
      <c r="BG999" t="s">
        <v>74</v>
      </c>
      <c r="BH999" t="s">
        <v>74</v>
      </c>
      <c r="BI999">
        <v>16</v>
      </c>
      <c r="BJ999" t="s">
        <v>1394</v>
      </c>
      <c r="BK999" t="s">
        <v>170</v>
      </c>
      <c r="BL999" t="s">
        <v>1394</v>
      </c>
      <c r="BM999" t="s">
        <v>13443</v>
      </c>
      <c r="BN999" t="s">
        <v>74</v>
      </c>
      <c r="BO999" t="s">
        <v>173</v>
      </c>
      <c r="BP999" t="s">
        <v>74</v>
      </c>
      <c r="BQ999" t="s">
        <v>74</v>
      </c>
      <c r="BR999" t="s">
        <v>107</v>
      </c>
      <c r="BS999" t="s">
        <v>13444</v>
      </c>
      <c r="BT999" t="str">
        <f>HYPERLINK("https%3A%2F%2Fwww.webofscience.com%2Fwos%2Fwoscc%2Ffull-record%2FWOS:000172873100004","View Full Record in Web of Science")</f>
        <v>View Full Record in Web of Science</v>
      </c>
    </row>
    <row r="1000" spans="1:72" x14ac:dyDescent="0.15">
      <c r="A1000" t="s">
        <v>72</v>
      </c>
      <c r="B1000" t="s">
        <v>13445</v>
      </c>
      <c r="C1000" t="s">
        <v>74</v>
      </c>
      <c r="D1000" t="s">
        <v>74</v>
      </c>
      <c r="E1000" t="s">
        <v>74</v>
      </c>
      <c r="F1000" t="s">
        <v>13445</v>
      </c>
      <c r="G1000" t="s">
        <v>74</v>
      </c>
      <c r="H1000" t="s">
        <v>74</v>
      </c>
      <c r="I1000" t="s">
        <v>13446</v>
      </c>
      <c r="J1000" t="s">
        <v>13447</v>
      </c>
      <c r="K1000" t="s">
        <v>74</v>
      </c>
      <c r="L1000" t="s">
        <v>74</v>
      </c>
      <c r="M1000" t="s">
        <v>77</v>
      </c>
      <c r="N1000" t="s">
        <v>153</v>
      </c>
      <c r="O1000" t="s">
        <v>74</v>
      </c>
      <c r="P1000" t="s">
        <v>74</v>
      </c>
      <c r="Q1000" t="s">
        <v>74</v>
      </c>
      <c r="R1000" t="s">
        <v>74</v>
      </c>
      <c r="S1000" t="s">
        <v>74</v>
      </c>
      <c r="T1000" t="s">
        <v>13448</v>
      </c>
      <c r="U1000" t="s">
        <v>13449</v>
      </c>
      <c r="V1000" t="s">
        <v>13450</v>
      </c>
      <c r="W1000" t="s">
        <v>851</v>
      </c>
      <c r="X1000" t="s">
        <v>852</v>
      </c>
      <c r="Y1000" t="s">
        <v>13451</v>
      </c>
      <c r="Z1000" t="s">
        <v>74</v>
      </c>
      <c r="AA1000" t="s">
        <v>74</v>
      </c>
      <c r="AB1000" t="s">
        <v>74</v>
      </c>
      <c r="AC1000" t="s">
        <v>74</v>
      </c>
      <c r="AD1000" t="s">
        <v>74</v>
      </c>
      <c r="AE1000" t="s">
        <v>74</v>
      </c>
      <c r="AF1000" t="s">
        <v>74</v>
      </c>
      <c r="AG1000">
        <v>28</v>
      </c>
      <c r="AH1000">
        <v>20</v>
      </c>
      <c r="AI1000">
        <v>21</v>
      </c>
      <c r="AJ1000">
        <v>0</v>
      </c>
      <c r="AK1000">
        <v>3</v>
      </c>
      <c r="AL1000" t="s">
        <v>132</v>
      </c>
      <c r="AM1000" t="s">
        <v>91</v>
      </c>
      <c r="AN1000" t="s">
        <v>133</v>
      </c>
      <c r="AO1000" t="s">
        <v>13452</v>
      </c>
      <c r="AP1000" t="s">
        <v>74</v>
      </c>
      <c r="AQ1000" t="s">
        <v>74</v>
      </c>
      <c r="AR1000" t="s">
        <v>13453</v>
      </c>
      <c r="AS1000" t="s">
        <v>13454</v>
      </c>
      <c r="AT1000" t="s">
        <v>12734</v>
      </c>
      <c r="AU1000">
        <v>2001</v>
      </c>
      <c r="AV1000">
        <v>112</v>
      </c>
      <c r="AW1000" t="s">
        <v>1834</v>
      </c>
      <c r="AX1000" t="s">
        <v>74</v>
      </c>
      <c r="AY1000" t="s">
        <v>74</v>
      </c>
      <c r="AZ1000" t="s">
        <v>74</v>
      </c>
      <c r="BA1000" t="s">
        <v>74</v>
      </c>
      <c r="BB1000">
        <v>105</v>
      </c>
      <c r="BC1000">
        <v>116</v>
      </c>
      <c r="BD1000" t="s">
        <v>74</v>
      </c>
      <c r="BE1000" t="s">
        <v>13455</v>
      </c>
      <c r="BF1000" t="str">
        <f>HYPERLINK("http://dx.doi.org/10.1016/S0377-0273(01)00237-2","http://dx.doi.org/10.1016/S0377-0273(01)00237-2")</f>
        <v>http://dx.doi.org/10.1016/S0377-0273(01)00237-2</v>
      </c>
      <c r="BG1000" t="s">
        <v>74</v>
      </c>
      <c r="BH1000" t="s">
        <v>74</v>
      </c>
      <c r="BI1000">
        <v>12</v>
      </c>
      <c r="BJ1000" t="s">
        <v>608</v>
      </c>
      <c r="BK1000" t="s">
        <v>170</v>
      </c>
      <c r="BL1000" t="s">
        <v>439</v>
      </c>
      <c r="BM1000" t="s">
        <v>13456</v>
      </c>
      <c r="BN1000" t="s">
        <v>74</v>
      </c>
      <c r="BO1000" t="s">
        <v>74</v>
      </c>
      <c r="BP1000" t="s">
        <v>74</v>
      </c>
      <c r="BQ1000" t="s">
        <v>74</v>
      </c>
      <c r="BR1000" t="s">
        <v>107</v>
      </c>
      <c r="BS1000" t="s">
        <v>13457</v>
      </c>
      <c r="BT1000" t="str">
        <f>HYPERLINK("https%3A%2F%2Fwww.webofscience.com%2Fwos%2Fwoscc%2Ffull-record%2FWOS:000173327400008","View Full Record in Web of Science")</f>
        <v>View Full Record in Web of Science</v>
      </c>
    </row>
    <row r="1001" spans="1:72" x14ac:dyDescent="0.15">
      <c r="A1001" t="s">
        <v>72</v>
      </c>
      <c r="B1001" t="s">
        <v>13458</v>
      </c>
      <c r="C1001" t="s">
        <v>74</v>
      </c>
      <c r="D1001" t="s">
        <v>74</v>
      </c>
      <c r="E1001" t="s">
        <v>74</v>
      </c>
      <c r="F1001" t="s">
        <v>13458</v>
      </c>
      <c r="G1001" t="s">
        <v>74</v>
      </c>
      <c r="H1001" t="s">
        <v>74</v>
      </c>
      <c r="I1001" t="s">
        <v>13459</v>
      </c>
      <c r="J1001" t="s">
        <v>4272</v>
      </c>
      <c r="K1001" t="s">
        <v>74</v>
      </c>
      <c r="L1001" t="s">
        <v>74</v>
      </c>
      <c r="M1001" t="s">
        <v>77</v>
      </c>
      <c r="N1001" t="s">
        <v>153</v>
      </c>
      <c r="O1001" t="s">
        <v>74</v>
      </c>
      <c r="P1001" t="s">
        <v>74</v>
      </c>
      <c r="Q1001" t="s">
        <v>74</v>
      </c>
      <c r="R1001" t="s">
        <v>74</v>
      </c>
      <c r="S1001" t="s">
        <v>74</v>
      </c>
      <c r="T1001" t="s">
        <v>13460</v>
      </c>
      <c r="U1001" t="s">
        <v>13461</v>
      </c>
      <c r="V1001" t="s">
        <v>13462</v>
      </c>
      <c r="W1001" t="s">
        <v>13463</v>
      </c>
      <c r="X1001" t="s">
        <v>13464</v>
      </c>
      <c r="Y1001" t="s">
        <v>13465</v>
      </c>
      <c r="Z1001" t="s">
        <v>74</v>
      </c>
      <c r="AA1001" t="s">
        <v>13466</v>
      </c>
      <c r="AB1001" t="s">
        <v>74</v>
      </c>
      <c r="AC1001" t="s">
        <v>74</v>
      </c>
      <c r="AD1001" t="s">
        <v>74</v>
      </c>
      <c r="AE1001" t="s">
        <v>74</v>
      </c>
      <c r="AF1001" t="s">
        <v>74</v>
      </c>
      <c r="AG1001">
        <v>27</v>
      </c>
      <c r="AH1001">
        <v>61</v>
      </c>
      <c r="AI1001">
        <v>79</v>
      </c>
      <c r="AJ1001">
        <v>0</v>
      </c>
      <c r="AK1001">
        <v>21</v>
      </c>
      <c r="AL1001" t="s">
        <v>894</v>
      </c>
      <c r="AM1001" t="s">
        <v>895</v>
      </c>
      <c r="AN1001" t="s">
        <v>896</v>
      </c>
      <c r="AO1001" t="s">
        <v>4280</v>
      </c>
      <c r="AP1001" t="s">
        <v>74</v>
      </c>
      <c r="AQ1001" t="s">
        <v>74</v>
      </c>
      <c r="AR1001" t="s">
        <v>4282</v>
      </c>
      <c r="AS1001" t="s">
        <v>4283</v>
      </c>
      <c r="AT1001" t="s">
        <v>12734</v>
      </c>
      <c r="AU1001">
        <v>2001</v>
      </c>
      <c r="AV1001">
        <v>18</v>
      </c>
      <c r="AW1001">
        <v>10</v>
      </c>
      <c r="AX1001" t="s">
        <v>74</v>
      </c>
      <c r="AY1001" t="s">
        <v>74</v>
      </c>
      <c r="AZ1001" t="s">
        <v>74</v>
      </c>
      <c r="BA1001" t="s">
        <v>74</v>
      </c>
      <c r="BB1001">
        <v>1031</v>
      </c>
      <c r="BC1001">
        <v>1040</v>
      </c>
      <c r="BD1001" t="s">
        <v>74</v>
      </c>
      <c r="BE1001" t="s">
        <v>13467</v>
      </c>
      <c r="BF1001" t="str">
        <f>HYPERLINK("http://dx.doi.org/10.1016/S0264-8172(01)00045-9","http://dx.doi.org/10.1016/S0264-8172(01)00045-9")</f>
        <v>http://dx.doi.org/10.1016/S0264-8172(01)00045-9</v>
      </c>
      <c r="BG1001" t="s">
        <v>74</v>
      </c>
      <c r="BH1001" t="s">
        <v>74</v>
      </c>
      <c r="BI1001">
        <v>10</v>
      </c>
      <c r="BJ1001" t="s">
        <v>608</v>
      </c>
      <c r="BK1001" t="s">
        <v>170</v>
      </c>
      <c r="BL1001" t="s">
        <v>439</v>
      </c>
      <c r="BM1001" t="s">
        <v>13468</v>
      </c>
      <c r="BN1001" t="s">
        <v>74</v>
      </c>
      <c r="BO1001" t="s">
        <v>74</v>
      </c>
      <c r="BP1001" t="s">
        <v>74</v>
      </c>
      <c r="BQ1001" t="s">
        <v>74</v>
      </c>
      <c r="BR1001" t="s">
        <v>107</v>
      </c>
      <c r="BS1001" t="s">
        <v>13469</v>
      </c>
      <c r="BT1001" t="str">
        <f>HYPERLINK("https%3A%2F%2Fwww.webofscience.com%2Fwos%2Fwoscc%2Ffull-record%2FWOS:000173529100001","View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2024-07-28T15:26:34Z</dcterms:created>
  <dcterms:modified xsi:type="dcterms:W3CDTF">2024-07-28T15:26:34Z</dcterms:modified>
</cp:coreProperties>
</file>